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ensj\Downloads\"/>
    </mc:Choice>
  </mc:AlternateContent>
  <xr:revisionPtr revIDLastSave="0" documentId="8_{4FD68BC7-5E89-42F5-8B63-7FA3C1A11299}" xr6:coauthVersionLast="47" xr6:coauthVersionMax="47" xr10:uidLastSave="{00000000-0000-0000-0000-000000000000}"/>
  <bookViews>
    <workbookView xWindow="1815" yWindow="1440" windowWidth="23670" windowHeight="17520" xr2:uid="{28A5DCD7-32B5-438E-96CE-EDD1F54DD909}"/>
  </bookViews>
  <sheets>
    <sheet name="Vergleich" sheetId="4" r:id="rId1"/>
    <sheet name="Brennstoff" sheetId="6" r:id="rId2"/>
    <sheet name="Investition" sheetId="7" state="hidden" r:id="rId3"/>
  </sheets>
  <definedNames>
    <definedName name="_xlnm.Print_Area" localSheetId="1">Brennstoff!$A$1:$K$43</definedName>
    <definedName name="_xlnm.Print_Area" localSheetId="0">Vergleich!$A$1:$O$48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 a="1"/>
  <c r="C6" i="4" s="1"/>
  <c r="E6" i="4" s="1"/>
  <c r="V6" i="4" s="1"/>
  <c r="C11" i="4" a="1"/>
  <c r="C11" i="4" s="1"/>
  <c r="C12" i="4" a="1"/>
  <c r="C12" i="4" s="1"/>
  <c r="D6" i="4"/>
  <c r="B6" i="4"/>
  <c r="B7" i="4"/>
  <c r="B45" i="6"/>
  <c r="H9" i="4"/>
  <c r="I5" i="6"/>
  <c r="I11" i="4"/>
  <c r="I12" i="4"/>
  <c r="H12" i="4"/>
  <c r="H11" i="4"/>
  <c r="H6" i="4"/>
  <c r="H10" i="4"/>
  <c r="J34" i="6"/>
  <c r="B13" i="4"/>
  <c r="B12" i="4"/>
  <c r="B11" i="4"/>
  <c r="B10" i="4"/>
  <c r="B9" i="4"/>
  <c r="B8" i="4"/>
  <c r="J5" i="4"/>
  <c r="J37" i="6"/>
  <c r="J38" i="6"/>
  <c r="J31" i="6"/>
  <c r="H7" i="4"/>
  <c r="H8" i="4"/>
  <c r="C13" i="4" a="1"/>
  <c r="C13" i="4" s="1"/>
  <c r="E13" i="4" s="1"/>
  <c r="C8" i="4" a="1"/>
  <c r="C8" i="4" s="1"/>
  <c r="E8" i="4" s="1"/>
  <c r="C7" i="4" a="1"/>
  <c r="C7" i="4" s="1"/>
  <c r="E7" i="4" s="1"/>
  <c r="E3" i="4" a="1"/>
  <c r="E3" i="4" s="1"/>
  <c r="W5" i="4"/>
  <c r="V5" i="4"/>
  <c r="D10" i="4"/>
  <c r="F10" i="4" a="1"/>
  <c r="F10" i="4"/>
  <c r="G10" i="4"/>
  <c r="D11" i="4"/>
  <c r="F11" i="4" a="1"/>
  <c r="F11" i="4"/>
  <c r="D8" i="4"/>
  <c r="D9" i="4"/>
  <c r="F9" i="4" a="1"/>
  <c r="F9" i="4"/>
  <c r="G9" i="4" s="1"/>
  <c r="F6" i="4" a="1"/>
  <c r="F6" i="4"/>
  <c r="D7" i="4"/>
  <c r="D13" i="4"/>
  <c r="F13" i="4" a="1"/>
  <c r="F13" i="4"/>
  <c r="G13" i="4"/>
  <c r="D12" i="4"/>
  <c r="F12" i="4" s="1" a="1"/>
  <c r="F12" i="4" s="1"/>
  <c r="F8" i="4" a="1"/>
  <c r="F8" i="4"/>
  <c r="G8" i="4"/>
  <c r="F7" i="4" a="1"/>
  <c r="F7" i="4"/>
  <c r="G7" i="4"/>
  <c r="G6" i="4"/>
  <c r="K8" i="4" l="1"/>
  <c r="L8" i="4" s="1"/>
  <c r="K6" i="4"/>
  <c r="W6" i="4" s="1"/>
  <c r="V13" i="4"/>
  <c r="K13" i="4"/>
  <c r="E11" i="4"/>
  <c r="J11" i="4"/>
  <c r="J12" i="4"/>
  <c r="E12" i="4"/>
  <c r="D5" i="6"/>
  <c r="V7" i="4"/>
  <c r="K7" i="4"/>
  <c r="L6" i="4" l="1"/>
  <c r="K12" i="4"/>
  <c r="V12" i="4"/>
  <c r="K11" i="4"/>
  <c r="V11" i="4"/>
  <c r="I19" i="6"/>
  <c r="D19" i="6"/>
  <c r="G19" i="6" s="1"/>
  <c r="D16" i="6"/>
  <c r="G5" i="6"/>
  <c r="D18" i="6"/>
  <c r="D25" i="6"/>
  <c r="D15" i="6"/>
  <c r="G15" i="6" s="1"/>
  <c r="D24" i="6"/>
  <c r="D23" i="6"/>
  <c r="D17" i="6"/>
  <c r="G17" i="6" s="1"/>
  <c r="I18" i="6"/>
  <c r="W13" i="4"/>
  <c r="L13" i="4"/>
  <c r="L7" i="4"/>
  <c r="W7" i="4"/>
  <c r="L11" i="4" l="1"/>
  <c r="W11" i="4"/>
  <c r="C10" i="4"/>
  <c r="E10" i="4" s="1"/>
  <c r="K10" i="4" s="1"/>
  <c r="L10" i="4" s="1"/>
  <c r="G16" i="6"/>
  <c r="G18" i="6"/>
  <c r="C9" i="4"/>
  <c r="E9" i="4" s="1"/>
  <c r="K9" i="4" s="1"/>
  <c r="L9" i="4" s="1"/>
  <c r="W12" i="4"/>
  <c r="L12" i="4"/>
  <c r="M8" i="4" l="1" a="1"/>
  <c r="M8" i="4" s="1"/>
  <c r="N8" i="4" s="1" a="1"/>
  <c r="N8" i="4" s="1"/>
  <c r="M7" i="4" a="1"/>
  <c r="M7" i="4" s="1"/>
  <c r="N7" i="4" s="1" a="1"/>
  <c r="N7" i="4" s="1"/>
  <c r="M10" i="4" a="1"/>
  <c r="M10" i="4" s="1"/>
  <c r="N9" i="4" s="1" a="1"/>
  <c r="N9" i="4" s="1"/>
  <c r="M9" i="4" a="1"/>
  <c r="M9" i="4" s="1"/>
  <c r="N10" i="4" s="1" a="1"/>
  <c r="N10" i="4" s="1"/>
  <c r="M6" i="4" a="1"/>
  <c r="M6" i="4" s="1"/>
  <c r="N6" i="4" s="1" a="1"/>
  <c r="N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<sst xmlns="http://schemas.openxmlformats.org/spreadsheetml/2006/main" count="181" uniqueCount="99">
  <si>
    <t>Gesamtkostenvergleich Deutschland</t>
  </si>
  <si>
    <t>Heizung Bestand</t>
  </si>
  <si>
    <t>ø Verbrauch der letzten 3 Jahre</t>
  </si>
  <si>
    <t>Vollbenutzungsstunden</t>
  </si>
  <si>
    <t>Angenommene Preissteigerung pro Jahr</t>
  </si>
  <si>
    <t>Öl</t>
  </si>
  <si>
    <t>Preis / Einheit</t>
  </si>
  <si>
    <t>Verbrauch pro Jahr</t>
  </si>
  <si>
    <t>kW Leistung</t>
  </si>
  <si>
    <t>Brennstoffkosten in 20 Jahren</t>
  </si>
  <si>
    <t>Kosten Anschaffung</t>
  </si>
  <si>
    <t>Förderung 70 % maximal</t>
  </si>
  <si>
    <t>Wartungskosten</t>
  </si>
  <si>
    <t>Kaminfeger</t>
  </si>
  <si>
    <t>CO2-Abgaben in 20 Jahren</t>
  </si>
  <si>
    <t>Gesamtkosten</t>
  </si>
  <si>
    <t>Vollkosten pro Betriebsjahr</t>
  </si>
  <si>
    <t>Ersparnis pro Jahr</t>
  </si>
  <si>
    <t>Amortisation</t>
  </si>
  <si>
    <t>geschätzte Lebensdauer</t>
  </si>
  <si>
    <t>Pellets</t>
  </si>
  <si>
    <t>kg/a</t>
  </si>
  <si>
    <t>Wärmepumpe JAZ 1:3</t>
  </si>
  <si>
    <t>Gas</t>
  </si>
  <si>
    <t>kWh/a</t>
  </si>
  <si>
    <t>Wärmepumpe</t>
  </si>
  <si>
    <t>Wärmepumpe JAZ 1:4</t>
  </si>
  <si>
    <r>
      <t xml:space="preserve">Stückholz Hart
</t>
    </r>
    <r>
      <rPr>
        <sz val="9"/>
        <color theme="1"/>
        <rFont val="Tahoma"/>
        <family val="2"/>
      </rPr>
      <t>(20% Wassergehalt)</t>
    </r>
  </si>
  <si>
    <r>
      <t xml:space="preserve">Hackschnitzel Hart
 </t>
    </r>
    <r>
      <rPr>
        <sz val="9"/>
        <color theme="1"/>
        <rFont val="Tahoma"/>
        <family val="2"/>
      </rPr>
      <t>(25% Wassergehalt)</t>
    </r>
  </si>
  <si>
    <t>Fernwärme</t>
  </si>
  <si>
    <t>l/a</t>
  </si>
  <si>
    <t xml:space="preserve">  D7&lt;=100; Investition!K5;</t>
  </si>
  <si>
    <t xml:space="preserve">  WAHR; "Kein gültiger Bereich"</t>
  </si>
  <si>
    <t>)</t>
  </si>
  <si>
    <t>Version / Stand:</t>
  </si>
  <si>
    <t>BHTDE</t>
  </si>
  <si>
    <t>Brennstoffvergleich Deutschland</t>
  </si>
  <si>
    <t>Jahresverbrauch</t>
  </si>
  <si>
    <t>Heizlast</t>
  </si>
  <si>
    <t xml:space="preserve">Jahresverbrauch </t>
  </si>
  <si>
    <t>kWh</t>
  </si>
  <si>
    <t>kW</t>
  </si>
  <si>
    <t>h</t>
  </si>
  <si>
    <t>Orientierung Vollbenutzungsstunden</t>
  </si>
  <si>
    <t xml:space="preserve">Einfamilienhaus </t>
  </si>
  <si>
    <t>1800-2100</t>
  </si>
  <si>
    <t>h/a</t>
  </si>
  <si>
    <t xml:space="preserve">Mehrfamilienhaus </t>
  </si>
  <si>
    <t>1600-2000</t>
  </si>
  <si>
    <t>Bürohaus</t>
  </si>
  <si>
    <t>1400-1900</t>
  </si>
  <si>
    <t xml:space="preserve">Schule </t>
  </si>
  <si>
    <t>1100-1400</t>
  </si>
  <si>
    <t>Verbrauch Biomasse im Überblick (Heizung+WW)</t>
  </si>
  <si>
    <t>to</t>
  </si>
  <si>
    <t>m3</t>
  </si>
  <si>
    <t>Hackgut Hartholz (25% Wassergehalt)</t>
  </si>
  <si>
    <t>srm</t>
  </si>
  <si>
    <t>Hackgut Weichholz (25% Wassergehalt)</t>
  </si>
  <si>
    <t>Stückholz Hart (20% Wassergehalt)</t>
  </si>
  <si>
    <t>rm</t>
  </si>
  <si>
    <t>kg</t>
  </si>
  <si>
    <t>Stückholz Weich (20% Wassergehalt)</t>
  </si>
  <si>
    <t>Verbrauch bei Luft-Wärmepump im Überblick (Heizung+WW)</t>
  </si>
  <si>
    <t>Luft-Wärmepumpe JAZ 2,0</t>
  </si>
  <si>
    <t xml:space="preserve">Luft-Wärmepumpe JAZ 3,0 </t>
  </si>
  <si>
    <t>Luft-Wärmepumpe JAZ 4,0</t>
  </si>
  <si>
    <t>Energiekosten und Umrechnungsfaktoren</t>
  </si>
  <si>
    <t>Energieträger</t>
  </si>
  <si>
    <t>Einkaufspreis / Einheit</t>
  </si>
  <si>
    <t>Einheit</t>
  </si>
  <si>
    <t>Menge</t>
  </si>
  <si>
    <t>ergibt</t>
  </si>
  <si>
    <t xml:space="preserve">Erdgas </t>
  </si>
  <si>
    <t>m³</t>
  </si>
  <si>
    <t>ÖL</t>
  </si>
  <si>
    <t>Liter</t>
  </si>
  <si>
    <t>l</t>
  </si>
  <si>
    <t xml:space="preserve">Stückholz Hart (20% Wassergehalt) </t>
  </si>
  <si>
    <t xml:space="preserve">Stückholz Weich (20% Wassergehalt) </t>
  </si>
  <si>
    <t xml:space="preserve">Pellets </t>
  </si>
  <si>
    <t>Strom</t>
  </si>
  <si>
    <t>Rahmenbedingungen: CO2-Abgaben in 20 Jahren</t>
  </si>
  <si>
    <t>Version/Stand:</t>
  </si>
  <si>
    <t>Investitionskosten</t>
  </si>
  <si>
    <t>bis kW</t>
  </si>
  <si>
    <t>Produkt</t>
  </si>
  <si>
    <t>10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</si>
  <si>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</si>
  <si>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</si>
  <si>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</si>
  <si>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</si>
  <si>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</si>
  <si>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</si>
  <si>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</si>
  <si>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</si>
  <si>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</si>
  <si>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Scheitholz</t>
  </si>
  <si>
    <t>Hackschnitzel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</si>
</sst>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#,##0\ &quot;€&quot;;[Red]\-#,##0\ &quot;€&quot;"/>
    <numFmt numFmtId="165" formatCode="_-* #,##0.00_-;\-* #,##0.00_-;_-* &quot;-&quot;??_-;_-@_-"/>
    <numFmt numFmtId="166" formatCode="#,##0.00\ [$CHF]"/>
    <numFmt numFmtId="167" formatCode="#,##0.00\ _€"/>
    <numFmt numFmtId="168" formatCode="#,##0\ _€"/>
    <numFmt numFmtId="169" formatCode="#,##0_ ;\-#,##0\ "/>
    <numFmt numFmtId="170" formatCode="#,###\ &quot;kg&quot;"/>
    <numFmt numFmtId="171" formatCode="#,###\ &quot;kW/h&quot;"/>
    <numFmt numFmtId="172" formatCode="#,###\ &quot;l&quot;"/>
    <numFmt numFmtId="173" formatCode="0\ &quot;€/t&quot;"/>
    <numFmt numFmtId="174" formatCode="0.00\ &quot;€/kWh&quot;"/>
    <numFmt numFmtId="175" formatCode="0.00\ &quot;€/l&quot;"/>
    <numFmt numFmtId="176" formatCode="#,###\ &quot;€&quot;"/>
    <numFmt numFmtId="177" formatCode="0.0%"/>
    <numFmt numFmtId="178" formatCode="#,##0.0"/>
    <numFmt numFmtId="179" formatCode="0\ &quot;Jahre&quot;"/>
    <numFmt numFmtId="180" formatCode="0\ &quot;€/rm&quot;"/>
    <numFmt numFmtId="181" formatCode="0\ &quot;€/srm&quot;"/>
    <numFmt numFmtId="182" formatCode="0\ &quot;rm&quot;"/>
    <numFmt numFmtId="183" formatCode="0\ &quot;srm&quot;"/>
    <numFmt numFmtId="184" formatCode="#,##0.00\ &quot;€&quot;"/>
    <numFmt numFmtId="185" formatCode="_-* #,##0_-;\-* #,##0_-;_-* &quot;-&quot;??_-;_-@_-"/>
    <numFmt numFmtId="186" formatCode="_-* #,##0\ [$€-407]_-;\-* #,##0\ [$€-407]_-;_-* &quot;-&quot;??\ [$€-407]_-;_-@_-"/>
    <numFmt numFmtId="187" formatCode="0.0\ &quot;Jahre&quot;"/>
  </numFmts>
  <fonts count="23" x14ac:knownFonts="1">
    <font>
      <sz val="10"/>
      <color theme="1"/>
      <name val="Tahoma"/>
      <family val="2"/>
    </font>
    <font>
      <sz val="12"/>
      <color theme="1"/>
      <name val="Aptos Narrow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28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Aptos Narrow"/>
      <family val="2"/>
      <scheme val="minor"/>
    </font>
    <font>
      <sz val="9"/>
      <color theme="1"/>
      <name val="Tahoma"/>
      <family val="2"/>
    </font>
    <font>
      <b/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0" fontId="11" fillId="0" borderId="0"/>
  </cellStyleXfs>
  <cellXfs count="171">
    <xf numFmtId="0" fontId="0" fillId="0" borderId="0" xfId="0"/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49" fontId="0" fillId="0" borderId="0" xfId="0" quotePrefix="1" applyNumberFormat="1"/>
    <xf numFmtId="0" fontId="5" fillId="0" borderId="8" xfId="0" applyFont="1" applyBorder="1"/>
    <xf numFmtId="49" fontId="5" fillId="0" borderId="11" xfId="0" quotePrefix="1" applyNumberFormat="1" applyFont="1" applyBorder="1"/>
    <xf numFmtId="49" fontId="5" fillId="0" borderId="11" xfId="0" applyNumberFormat="1" applyFont="1" applyBorder="1"/>
    <xf numFmtId="49" fontId="5" fillId="0" borderId="6" xfId="0" applyNumberFormat="1" applyFont="1" applyBorder="1"/>
    <xf numFmtId="0" fontId="5" fillId="0" borderId="10" xfId="0" applyFont="1" applyBorder="1"/>
    <xf numFmtId="0" fontId="5" fillId="0" borderId="4" xfId="0" applyFont="1" applyBorder="1"/>
    <xf numFmtId="168" fontId="0" fillId="5" borderId="1" xfId="0" applyNumberFormat="1" applyFill="1" applyBorder="1"/>
    <xf numFmtId="168" fontId="0" fillId="5" borderId="9" xfId="0" applyNumberFormat="1" applyFill="1" applyBorder="1"/>
    <xf numFmtId="168" fontId="0" fillId="5" borderId="29" xfId="0" applyNumberFormat="1" applyFill="1" applyBorder="1"/>
    <xf numFmtId="168" fontId="0" fillId="5" borderId="3" xfId="0" applyNumberFormat="1" applyFill="1" applyBorder="1"/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5" fillId="0" borderId="0" xfId="0" applyFont="1"/>
    <xf numFmtId="0" fontId="15" fillId="2" borderId="0" xfId="0" applyFont="1" applyFill="1"/>
    <xf numFmtId="3" fontId="15" fillId="0" borderId="0" xfId="0" applyNumberFormat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indent="1"/>
    </xf>
    <xf numFmtId="167" fontId="3" fillId="4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2" fillId="0" borderId="0" xfId="0" applyFont="1" applyAlignment="1">
      <alignment vertical="center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64" fontId="0" fillId="0" borderId="0" xfId="0" applyNumberFormat="1"/>
    <xf numFmtId="2" fontId="0" fillId="0" borderId="0" xfId="0" applyNumberFormat="1"/>
    <xf numFmtId="0" fontId="4" fillId="5" borderId="1" xfId="0" applyFont="1" applyFill="1" applyBorder="1" applyAlignment="1" applyProtection="1">
      <alignment horizontal="left" vertical="center" indent="1"/>
      <protection locked="0"/>
    </xf>
    <xf numFmtId="173" fontId="10" fillId="5" borderId="12" xfId="0" applyNumberFormat="1" applyFont="1" applyFill="1" applyBorder="1" applyAlignment="1" applyProtection="1">
      <alignment horizontal="center" vertical="center"/>
      <protection locked="0"/>
    </xf>
    <xf numFmtId="184" fontId="1" fillId="5" borderId="1" xfId="0" applyNumberFormat="1" applyFont="1" applyFill="1" applyBorder="1" applyProtection="1">
      <protection locked="0"/>
    </xf>
    <xf numFmtId="184" fontId="1" fillId="5" borderId="31" xfId="0" applyNumberFormat="1" applyFont="1" applyFill="1" applyBorder="1" applyProtection="1">
      <protection locked="0"/>
    </xf>
    <xf numFmtId="169" fontId="3" fillId="0" borderId="10" xfId="1" applyNumberFormat="1" applyFont="1" applyFill="1" applyBorder="1" applyAlignment="1" applyProtection="1">
      <alignment horizontal="center" vertical="center"/>
    </xf>
    <xf numFmtId="186" fontId="0" fillId="0" borderId="0" xfId="0" applyNumberFormat="1"/>
    <xf numFmtId="0" fontId="4" fillId="0" borderId="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0" xfId="0" applyFont="1" applyBorder="1"/>
    <xf numFmtId="174" fontId="3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180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75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/>
    </xf>
    <xf numFmtId="3" fontId="1" fillId="0" borderId="0" xfId="0" applyNumberFormat="1" applyFont="1"/>
    <xf numFmtId="0" fontId="15" fillId="2" borderId="13" xfId="0" applyFont="1" applyFill="1" applyBorder="1"/>
    <xf numFmtId="0" fontId="1" fillId="0" borderId="14" xfId="0" applyFont="1" applyBorder="1"/>
    <xf numFmtId="3" fontId="1" fillId="0" borderId="14" xfId="0" applyNumberFormat="1" applyFont="1" applyBorder="1"/>
    <xf numFmtId="0" fontId="1" fillId="0" borderId="15" xfId="0" applyFont="1" applyBorder="1"/>
    <xf numFmtId="0" fontId="15" fillId="0" borderId="16" xfId="0" applyFont="1" applyBorder="1"/>
    <xf numFmtId="3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18" xfId="0" applyNumberFormat="1" applyFont="1" applyBorder="1"/>
    <xf numFmtId="0" fontId="1" fillId="0" borderId="19" xfId="0" applyFont="1" applyBorder="1"/>
    <xf numFmtId="3" fontId="1" fillId="0" borderId="0" xfId="0" applyNumberFormat="1" applyFont="1" applyAlignment="1">
      <alignment horizontal="center"/>
    </xf>
    <xf numFmtId="0" fontId="1" fillId="0" borderId="17" xfId="0" applyFont="1" applyBorder="1"/>
    <xf numFmtId="0" fontId="13" fillId="0" borderId="1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17" xfId="0" applyFont="1" applyBorder="1"/>
    <xf numFmtId="0" fontId="16" fillId="0" borderId="16" xfId="0" applyFont="1" applyBorder="1" applyAlignment="1">
      <alignment horizontal="center" vertical="center"/>
    </xf>
    <xf numFmtId="0" fontId="17" fillId="0" borderId="5" xfId="0" applyFon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4" fontId="1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78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178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2" fontId="15" fillId="0" borderId="0" xfId="0" applyNumberFormat="1" applyFont="1"/>
    <xf numFmtId="3" fontId="1" fillId="0" borderId="22" xfId="0" applyNumberFormat="1" applyFont="1" applyBorder="1"/>
    <xf numFmtId="3" fontId="1" fillId="0" borderId="21" xfId="0" applyNumberFormat="1" applyFont="1" applyBorder="1"/>
    <xf numFmtId="0" fontId="15" fillId="0" borderId="26" xfId="0" applyFont="1" applyBorder="1"/>
    <xf numFmtId="3" fontId="1" fillId="0" borderId="24" xfId="0" applyNumberFormat="1" applyFont="1" applyBorder="1"/>
    <xf numFmtId="2" fontId="15" fillId="0" borderId="26" xfId="0" applyNumberFormat="1" applyFont="1" applyBorder="1"/>
    <xf numFmtId="0" fontId="15" fillId="0" borderId="19" xfId="0" applyFont="1" applyBorder="1"/>
    <xf numFmtId="0" fontId="18" fillId="6" borderId="16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vertical="center" wrapText="1"/>
    </xf>
    <xf numFmtId="0" fontId="18" fillId="6" borderId="17" xfId="0" applyFont="1" applyFill="1" applyBorder="1" applyAlignment="1">
      <alignment horizontal="center" vertical="center" wrapText="1"/>
    </xf>
    <xf numFmtId="3" fontId="18" fillId="6" borderId="21" xfId="0" applyNumberFormat="1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3" fontId="1" fillId="0" borderId="2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85" fontId="1" fillId="0" borderId="9" xfId="1" applyNumberFormat="1" applyFont="1" applyBorder="1" applyAlignment="1" applyProtection="1">
      <alignment horizontal="center"/>
    </xf>
    <xf numFmtId="0" fontId="13" fillId="0" borderId="24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185" fontId="1" fillId="0" borderId="30" xfId="1" applyNumberFormat="1" applyFont="1" applyBorder="1" applyAlignment="1" applyProtection="1">
      <alignment horizont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wrapText="1"/>
    </xf>
    <xf numFmtId="173" fontId="13" fillId="5" borderId="12" xfId="0" applyNumberFormat="1" applyFont="1" applyFill="1" applyBorder="1" applyAlignment="1" applyProtection="1">
      <alignment horizontal="center" vertical="center"/>
      <protection locked="0"/>
    </xf>
    <xf numFmtId="14" fontId="15" fillId="0" borderId="0" xfId="0" applyNumberFormat="1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173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9" fontId="4" fillId="5" borderId="9" xfId="1" applyNumberFormat="1" applyFont="1" applyFill="1" applyBorder="1" applyAlignment="1" applyProtection="1">
      <alignment horizontal="center" vertical="center"/>
      <protection locked="0"/>
    </xf>
    <xf numFmtId="169" fontId="4" fillId="5" borderId="12" xfId="1" applyNumberFormat="1" applyFont="1" applyFill="1" applyBorder="1" applyAlignment="1" applyProtection="1">
      <alignment horizontal="center" vertical="center"/>
      <protection locked="0"/>
    </xf>
    <xf numFmtId="168" fontId="5" fillId="0" borderId="9" xfId="0" applyNumberFormat="1" applyFont="1" applyBorder="1" applyAlignment="1">
      <alignment horizontal="center" vertical="center" wrapText="1"/>
    </xf>
    <xf numFmtId="168" fontId="5" fillId="0" borderId="10" xfId="0" applyNumberFormat="1" applyFont="1" applyBorder="1" applyAlignment="1">
      <alignment horizontal="center" vertical="center" wrapText="1"/>
    </xf>
    <xf numFmtId="177" fontId="4" fillId="5" borderId="9" xfId="0" applyNumberFormat="1" applyFont="1" applyFill="1" applyBorder="1" applyAlignment="1" applyProtection="1">
      <alignment horizontal="center" vertical="center"/>
      <protection locked="0"/>
    </xf>
    <xf numFmtId="177" fontId="4" fillId="5" borderId="10" xfId="0" applyNumberFormat="1" applyFont="1" applyFill="1" applyBorder="1" applyAlignment="1" applyProtection="1">
      <alignment horizontal="center" vertical="center"/>
      <protection locked="0"/>
    </xf>
    <xf numFmtId="168" fontId="4" fillId="0" borderId="9" xfId="0" applyNumberFormat="1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  <xf numFmtId="3" fontId="4" fillId="5" borderId="9" xfId="0" applyNumberFormat="1" applyFont="1" applyFill="1" applyBorder="1" applyAlignment="1" applyProtection="1">
      <alignment horizontal="center" vertical="center"/>
      <protection locked="0"/>
    </xf>
    <xf numFmtId="3" fontId="4" fillId="5" borderId="10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21" fillId="6" borderId="33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</cellXfs>
  <cellStyles count="3">
    <cellStyle name="Komma" xfId="1" builtinId="3"/>
    <cellStyle name="Standard" xfId="0" builtinId="0"/>
    <cellStyle name="Standard 2" xfId="2" xr:uid="{3D6DF851-2D0D-4142-B865-B996E49D05FB}"/>
  </cellStyles>
  <dxfs count="15"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\ _€"/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33CC33"/>
      <color rgb="FF0F0610"/>
      <color rgb="FFE2E0DA"/>
      <color rgb="FFF8C3BA"/>
      <color rgb="FFEFAFAD"/>
      <color rgb="FFE30613"/>
      <color rgb="FF6F6F6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rgbClr val="0F061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Vergleich!$L$4</c:f>
              <c:strCache>
                <c:ptCount val="1"/>
                <c:pt idx="0">
                  <c:v>Vollkosten pro Betriebsjahr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Vergleich!$A$6:$A$13</c:f>
              <c:strCache>
                <c:ptCount val="8"/>
                <c:pt idx="0">
                  <c:v>Pellets</c:v>
                </c:pt>
                <c:pt idx="1">
                  <c:v>Wärmepumpe JAZ 1:3</c:v>
                </c:pt>
                <c:pt idx="2">
                  <c:v>Wärmepumpe JAZ 1:4</c:v>
                </c:pt>
                <c:pt idx="3">
                  <c:v>Stückholz Hart
(20% Wassergehalt)</c:v>
                </c:pt>
                <c:pt idx="4">
                  <c:v>Hackschnitzel Hart
 (25% Wassergehalt)</c:v>
                </c:pt>
                <c:pt idx="5">
                  <c:v>Öl</c:v>
                </c:pt>
                <c:pt idx="6">
                  <c:v>Gas</c:v>
                </c:pt>
                <c:pt idx="7">
                  <c:v>Fernwärme</c:v>
                </c:pt>
              </c:strCache>
            </c:strRef>
          </c:cat>
          <c:val>
            <c:numRef>
              <c:f>Vergleich!$L$6:$L$13</c:f>
              <c:numCache>
                <c:formatCode>#,###\ "€"</c:formatCode>
                <c:ptCount val="8"/>
                <c:pt idx="0">
                  <c:v>3118.5045356075698</c:v>
                </c:pt>
                <c:pt idx="1">
                  <c:v>4819.5131078595114</c:v>
                </c:pt>
                <c:pt idx="2">
                  <c:v>3995.8848308946335</c:v>
                </c:pt>
                <c:pt idx="3">
                  <c:v>4510.4495653475697</c:v>
                </c:pt>
                <c:pt idx="4">
                  <c:v>3928.6199040561305</c:v>
                </c:pt>
                <c:pt idx="5">
                  <c:v>6123.3502114548273</c:v>
                </c:pt>
                <c:pt idx="6">
                  <c:v>5528.3831078595103</c:v>
                </c:pt>
                <c:pt idx="7">
                  <c:v>8392.549589000324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7-4D2A-A741-C696516C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7579519"/>
        <c:axId val="1627577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Vergleich!$V$5</c15:sqref>
                        </c15:formulaRef>
                      </c:ext>
                    </c:extLst>
                    <c:strCache>
                      <c:ptCount val="1"/>
                      <c:pt idx="0">
                        <c:v>Brennstoffkosten in 20 Jahren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Vergleich!$A$6:$A$13</c15:sqref>
                        </c15:formulaRef>
                      </c:ext>
                    </c:extLst>
                    <c:strCache>
                      <c:ptCount val="8"/>
                      <c:pt idx="0">
                        <c:v>Pellets</c:v>
                      </c:pt>
                      <c:pt idx="1">
                        <c:v>Wärmepumpe JAZ 1:3</c:v>
                      </c:pt>
                      <c:pt idx="2">
                        <c:v>Wärmepumpe JAZ 1:4</c:v>
                      </c:pt>
                      <c:pt idx="3">
                        <c:v>Stückholz Hart
(20% Wassergehalt)</c:v>
                      </c:pt>
                      <c:pt idx="4">
                        <c:v>Hackschnitzel Hart
 (25% Wassergehalt)</c:v>
                      </c:pt>
                      <c:pt idx="5">
                        <c:v>Öl</c:v>
                      </c:pt>
                      <c:pt idx="6">
                        <c:v>Gas</c:v>
                      </c:pt>
                      <c:pt idx="7">
                        <c:v>Fernwärme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Vergleich!$V$6:$V$13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0-BC8D-4CE7-9EE1-564C2A491E8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Vergleich!$W$5</c15:sqref>
                        </c15:formulaRef>
                      </c:ext>
                    </c:extLst>
                    <c:strCache>
                      <c:ptCount val="1"/>
                      <c:pt idx="0">
                        <c:v>Gesamtkosten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Vergleich!$A$6:$A$13</c15:sqref>
                        </c15:formulaRef>
                      </c:ext>
                    </c:extLst>
                    <c:strCache>
                      <c:ptCount val="8"/>
                      <c:pt idx="0">
                        <c:v>Pellets</c:v>
                      </c:pt>
                      <c:pt idx="1">
                        <c:v>Wärmepumpe JAZ 1:3</c:v>
                      </c:pt>
                      <c:pt idx="2">
                        <c:v>Wärmepumpe JAZ 1:4</c:v>
                      </c:pt>
                      <c:pt idx="3">
                        <c:v>Stückholz Hart
(20% Wassergehalt)</c:v>
                      </c:pt>
                      <c:pt idx="4">
                        <c:v>Hackschnitzel Hart
 (25% Wassergehalt)</c:v>
                      </c:pt>
                      <c:pt idx="5">
                        <c:v>Öl</c:v>
                      </c:pt>
                      <c:pt idx="6">
                        <c:v>Gas</c:v>
                      </c:pt>
                      <c:pt idx="7">
                        <c:v>Fernwärme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Vergleich!$W$6:$W$13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C8D-4CE7-9EE1-564C2A491E8B}"/>
                  </c:ext>
                </c:extLst>
              </c15:ser>
            </c15:filteredBarSeries>
          </c:ext>
        </c:extLst>
      </c:barChart>
      <c:catAx>
        <c:axId val="16275795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7577119"/>
        <c:crosses val="autoZero"/>
        <c:auto val="1"/>
        <c:lblAlgn val="ctr"/>
        <c:lblOffset val="100"/>
        <c:noMultiLvlLbl val="0"/>
      </c:catAx>
      <c:valAx>
        <c:axId val="162757711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757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41469</xdr:colOff>
      <xdr:row>13</xdr:row>
      <xdr:rowOff>136865</xdr:rowOff>
    </xdr:from>
    <xdr:to>
      <xdr:col>14</xdr:col>
      <xdr:colOff>1181100</xdr:colOff>
      <xdr:row>45</xdr:row>
      <xdr:rowOff>42625</xdr:rowOff>
    </xdr:to>
    <xdr:graphicFrame macro="">
      <xdr:nvGraphicFramePr>
        <xdr:cNvPr id="2" name="Diagram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787400</xdr:colOff>
      <xdr:row>0</xdr:row>
      <xdr:rowOff>152400</xdr:rowOff>
    </xdr:from>
    <xdr:to>
      <xdr:col>12</xdr:col>
      <xdr:colOff>1117424</xdr:colOff>
      <xdr:row>0</xdr:row>
      <xdr:rowOff>628940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63700" y="152400"/>
          <a:ext cx="1676224" cy="476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</xdr:colOff>
      <xdr:row>0</xdr:row>
      <xdr:rowOff>127000</xdr:rowOff>
    </xdr:from>
    <xdr:to>
      <xdr:col>10</xdr:col>
      <xdr:colOff>774524</xdr:colOff>
      <xdr:row>0</xdr:row>
      <xdr:rowOff>603540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000" y="127000"/>
          <a:ext cx="1676224" cy="4765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69FFCE-6794-DD4A-8A53-F5CF87E79E38}" name="Tabelle1" displayName="Tabelle1" ref="A4:K12" totalsRowShown="0" headerRowDxfId="14" headerRowBorderDxfId="13" tableBorderDxfId="12" totalsRowBorderDxfId="11">
  <tableColumns count="11">
    <tableColumn id="1" xr3:uid="{910B229F-3570-1D4A-900E-223FA3848311}" name="Produkt" dataDxfId="10"/>
    <tableColumn id="2" xr3:uid="{4ABCCAD2-F2F7-1346-810C-F58C74EAA16B}" name="10" dataDxfId="9"/>
    <tableColumn id="3" xr3:uid="{6DCADC61-C51D-A942-BB41-588E8BBBB5A7}" name="20" dataDxfId="8"/>
    <tableColumn id="4" xr3:uid="{1D187610-D513-8D44-9A56-50ADC9AA884E}" name="30" dataDxfId="7"/>
    <tableColumn id="5" xr3:uid="{3127A91A-CC40-2746-AF53-A0A928238A3E}" name="40" dataDxfId="6"/>
    <tableColumn id="6" xr3:uid="{607866C0-D53E-174C-B88D-E172601BC4F7}" name="50" dataDxfId="5"/>
    <tableColumn id="7" xr3:uid="{638353E2-6B06-864C-B06D-8D47A672C3D7}" name="60" dataDxfId="4"/>
    <tableColumn id="8" xr3:uid="{E1F4A510-A81D-0C4C-9DA4-F5E0A2D3101A}" name="70" dataDxfId="3"/>
    <tableColumn id="9" xr3:uid="{B5B3521A-8A6E-9B45-9D3C-C47A747D6C20}" name="80" dataDxfId="2"/>
    <tableColumn id="10" xr3:uid="{DBC44AFE-28A5-C84B-91BE-D0655B14CFB0}" name="90" dataDxfId="1"/>
    <tableColumn id="11" xr3:uid="{9D238F3B-6A58-D24B-9C45-68B987DF9DD0}" name="10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12C3-55DB-42BA-91B4-B6C6E5017C08}">
  <sheetPr>
    <pageSetUpPr fitToPage="1"/>
  </sheetPr>
  <dimension ref="A1:W48"/>
  <sheetViews>
    <sheetView tabSelected="1" zoomScale="80" zoomScaleNormal="80" zoomScaleSheetLayoutView="140" workbookViewId="0">
      <selection activeCell="B52" sqref="B52"/>
    </sheetView>
  </sheetViews>
  <sheetFormatPr baseColWidth="10" defaultColWidth="11.42578125" defaultRowHeight="12.75" customHeight="1" x14ac:dyDescent="0.2"/>
  <cols>
    <col min="1" max="1" width="28.140625" style="30" bestFit="1" customWidth="1"/>
    <col min="2" max="2" width="19.85546875" style="29" customWidth="1"/>
    <col min="3" max="3" width="18.85546875" style="29" customWidth="1"/>
    <col min="4" max="4" width="14.42578125" style="29" customWidth="1"/>
    <col min="5" max="5" width="18.85546875" style="28" customWidth="1"/>
    <col min="6" max="6" width="17.42578125" bestFit="1" customWidth="1"/>
    <col min="7" max="10" width="18.85546875" customWidth="1"/>
    <col min="11" max="14" width="21.140625" customWidth="1"/>
    <col min="15" max="15" width="18.85546875" hidden="1" customWidth="1"/>
    <col min="17" max="17" width="19.5703125" customWidth="1"/>
    <col min="18" max="23" width="19.5703125" hidden="1" customWidth="1"/>
    <col min="24" max="24" width="19.5703125" customWidth="1"/>
  </cols>
  <sheetData>
    <row r="1" spans="1:23" ht="56.1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23" ht="28.35" customHeight="1" x14ac:dyDescent="0.2">
      <c r="A2" s="39" t="s">
        <v>1</v>
      </c>
      <c r="B2" s="141" t="s">
        <v>2</v>
      </c>
      <c r="C2" s="142"/>
      <c r="D2" s="40"/>
      <c r="E2" s="41"/>
      <c r="F2" s="149" t="s">
        <v>3</v>
      </c>
      <c r="G2" s="150"/>
      <c r="H2" s="145" t="s">
        <v>4</v>
      </c>
      <c r="I2" s="146"/>
      <c r="J2" s="42"/>
      <c r="K2" s="43"/>
      <c r="L2" s="43"/>
      <c r="M2" s="43"/>
      <c r="N2" s="43"/>
      <c r="O2" s="44"/>
      <c r="U2" s="24"/>
      <c r="V2" s="25"/>
      <c r="W2" s="26"/>
    </row>
    <row r="3" spans="1:23" ht="28.35" customHeight="1" x14ac:dyDescent="0.2">
      <c r="A3" s="33" t="s">
        <v>5</v>
      </c>
      <c r="B3" s="143">
        <v>3000</v>
      </c>
      <c r="C3" s="144"/>
      <c r="D3" s="37"/>
      <c r="E3" s="25" t="str" cm="1">
        <f t="array" ref="E3">_xlfn.IFS(A3=U11,T11,A3=U12,T12,A3=U6,T6,A3=U7,T7,A3=U13,T13)</f>
        <v>l/a</v>
      </c>
      <c r="F3" s="151">
        <v>2000</v>
      </c>
      <c r="G3" s="152"/>
      <c r="H3" s="147">
        <v>0.01</v>
      </c>
      <c r="I3" s="148"/>
      <c r="J3" s="42"/>
      <c r="K3" s="43"/>
      <c r="L3" s="43"/>
      <c r="M3" s="43"/>
      <c r="N3" s="43"/>
      <c r="O3" s="44"/>
      <c r="U3" s="24"/>
      <c r="V3" s="25"/>
      <c r="W3" s="26"/>
    </row>
    <row r="4" spans="1:23" s="27" customFormat="1" ht="30" x14ac:dyDescent="0.2">
      <c r="A4" s="45"/>
      <c r="B4" s="46" t="s">
        <v>6</v>
      </c>
      <c r="C4" s="47" t="s">
        <v>7</v>
      </c>
      <c r="D4" s="47" t="s">
        <v>8</v>
      </c>
      <c r="E4" s="47" t="s">
        <v>9</v>
      </c>
      <c r="F4" s="47" t="s">
        <v>10</v>
      </c>
      <c r="G4" s="47" t="s">
        <v>11</v>
      </c>
      <c r="H4" s="47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18</v>
      </c>
      <c r="O4" s="46" t="s">
        <v>19</v>
      </c>
    </row>
    <row r="5" spans="1:23" ht="34.35" customHeight="1" x14ac:dyDescent="0.2">
      <c r="A5" s="48"/>
      <c r="B5" s="138"/>
      <c r="C5" s="139"/>
      <c r="D5" s="14">
        <v>20</v>
      </c>
      <c r="E5" s="1">
        <v>20</v>
      </c>
      <c r="F5" s="49"/>
      <c r="G5" s="14">
        <v>55</v>
      </c>
      <c r="H5" s="50"/>
      <c r="I5" s="50"/>
      <c r="J5" s="34">
        <f>Brennstoff!B43</f>
        <v>150</v>
      </c>
      <c r="K5" s="50"/>
      <c r="L5" s="50"/>
      <c r="M5" s="50"/>
      <c r="N5" s="50"/>
      <c r="O5" s="51"/>
      <c r="V5" s="28" t="str">
        <f>E4</f>
        <v>Brennstoffkosten in 20 Jahren</v>
      </c>
      <c r="W5" t="str">
        <f>K4</f>
        <v>Gesamtkosten</v>
      </c>
    </row>
    <row r="6" spans="1:23" ht="28.35" customHeight="1" x14ac:dyDescent="0.2">
      <c r="A6" s="24" t="s">
        <v>20</v>
      </c>
      <c r="B6" s="135">
        <f>Brennstoff!B34</f>
        <v>290</v>
      </c>
      <c r="C6" s="53" cm="1">
        <f t="array" ref="C6">_xlfn.IFS($A$3=$U$11,$B$3*$S$6,$A$3=$U$12,$B$3/5,$A$3=$U6,$B$3,$A$3=$U$13,$B$3/5)</f>
        <v>6000</v>
      </c>
      <c r="D6" s="54">
        <f>$D$5</f>
        <v>20</v>
      </c>
      <c r="E6" s="55">
        <f>B6*(1+$H$3)^$E$5*C6/1000*$E$5</f>
        <v>42462.613390189254</v>
      </c>
      <c r="F6" s="56" cm="1">
        <f t="array" ref="F6">_xlfn.IFS(
  D6&lt;=10, Investition!B5,
  D6&lt;=20, Investition!C5,
  D6&lt;=30, Investition!D5,
  D6&lt;=40, Investition!E5,
  D6&lt;=50, Investition!F5,
  D6&lt;=60, Investition!G5,
  D6&lt;=70, Investition!H5,
  D6&lt;=80, Investition!I5,
  D6&lt;=90, Investition!J5,
  D6&lt;=100, Investition!K5,
  TRUE, "Kein gültiger Bereich"
)</f>
        <v>45000</v>
      </c>
      <c r="G6" s="56">
        <f>IF(F6&gt;30000,30000*$G$5/100,F6*$G$5)</f>
        <v>16500</v>
      </c>
      <c r="H6" s="56">
        <f>700*E5/2</f>
        <v>7000</v>
      </c>
      <c r="I6" s="56">
        <v>4000</v>
      </c>
      <c r="J6" s="56">
        <v>0</v>
      </c>
      <c r="K6" s="55">
        <f>SUM(E6+F6-G6+H6)</f>
        <v>77962.613390189246</v>
      </c>
      <c r="L6" s="55">
        <f>K6/O6</f>
        <v>3118.5045356075698</v>
      </c>
      <c r="M6" s="55" cm="1">
        <f t="array" ref="M6">_xlfn.IFS($A$3=$R$6,$L$11-$L$6,$A$3=$R$7,$L$12-$L$6,$A$3=$R$11,$L$13-$L$6)</f>
        <v>3004.8456758472576</v>
      </c>
      <c r="N6" s="57" cm="1">
        <f t="array" ref="N6">_xlfn.IFS($A$3=$R$6,($F$6-$F$11-$G$6)/$M$6,$A$3=$R$7,($F$6-$F$12-$G$6)/$M$6,$A$3=$R$11,($F$6-$F$13-$G$6)/$M$6)</f>
        <v>2.16317265550326</v>
      </c>
      <c r="O6" s="58">
        <v>25</v>
      </c>
      <c r="R6" t="s">
        <v>5</v>
      </c>
      <c r="S6">
        <v>2</v>
      </c>
      <c r="T6" t="s">
        <v>21</v>
      </c>
      <c r="U6" s="24" t="s">
        <v>20</v>
      </c>
      <c r="V6" s="25">
        <f t="shared" ref="V6:V13" si="0">E6</f>
        <v>42462.613390189254</v>
      </c>
      <c r="W6" s="26">
        <f>K6</f>
        <v>77962.613390189246</v>
      </c>
    </row>
    <row r="7" spans="1:23" ht="28.35" customHeight="1" x14ac:dyDescent="0.2">
      <c r="A7" s="24" t="s">
        <v>22</v>
      </c>
      <c r="B7" s="52">
        <f>Brennstoff!B38</f>
        <v>0.27</v>
      </c>
      <c r="C7" s="59" cm="1">
        <f t="array" ref="C7">_xlfn.IFS($A$3=$U$11,$B$3*$S$11/3,$A$3=$U$12,$B$3/3,$A$3=$U6,($B$3*5)/3,$A$3=$U$13,$B$3/3)</f>
        <v>10000</v>
      </c>
      <c r="D7" s="54">
        <f>$D$5</f>
        <v>20</v>
      </c>
      <c r="E7" s="55">
        <f>B7*(1+$H$3)^$E$5*C7*$E$5</f>
        <v>65890.262157190227</v>
      </c>
      <c r="F7" s="56" cm="1">
        <f t="array" ref="F7">_xlfn.IFS(
  D7&lt;=10, Investition!B6,
  D7&lt;=20, Investition!C6,
  D7&lt;=30, Investition!D6,
  D7&lt;=40, Investition!E6,
  D7&lt;=50, Investition!F6,
  D7&lt;=60, Investition!G6,
  D7&lt;=70, Investition!H6,
  D7&lt;=80, Investition!I6,
  D7&lt;=90, Investition!J6,
  D7&lt;=100, Investition!K6,
  TRUE, "Kein gültiger Bereich"
)</f>
        <v>41000</v>
      </c>
      <c r="G7" s="56">
        <f t="shared" ref="G7:G10" si="1">IF(F7&gt;30000,30000*$G$5/100,F7*$G$5)</f>
        <v>16500</v>
      </c>
      <c r="H7" s="56">
        <f>300*E5</f>
        <v>6000</v>
      </c>
      <c r="I7" s="56"/>
      <c r="J7" s="56">
        <v>0</v>
      </c>
      <c r="K7" s="55">
        <f>SUM(E7+F7-G7+H7)</f>
        <v>96390.262157190227</v>
      </c>
      <c r="L7" s="55">
        <f t="shared" ref="L7:L13" si="2">K7/O7</f>
        <v>4819.5131078595114</v>
      </c>
      <c r="M7" s="55" cm="1">
        <f t="array" ref="M7">_xlfn.IFS($A$3=$R$6,$L$11-$L$7,$A$3=$R$7,$L$12-$L$7,$A$3=$R$11,$L$13-$L$7)</f>
        <v>1303.837103595316</v>
      </c>
      <c r="N7" s="57" cm="1">
        <f t="array" ref="N7">IF(_xlfn.IFS($A$3=$R$6,($F$7-$F$11-$G$7)/$M$7,$A$3=$R$7,($F$7-$F$12-$G$7)/$M$7,$A$3=$R$11,($F$7-$F$13-$G$7)/$M$7)&lt;0,"NN",_xlfn.IFS($A$3=$R$6,($F$7-$F$11-$G$7)/$M$7,$A$3=$R$7,($F$7-$F$12-$G$7)/$M$7,$A$3=$R$11,($F$7-$F$13-$G$7)/$M$7))</f>
        <v>1.917417438962489</v>
      </c>
      <c r="O7" s="58">
        <v>20</v>
      </c>
      <c r="R7" t="s">
        <v>23</v>
      </c>
      <c r="S7">
        <v>5</v>
      </c>
      <c r="T7" t="s">
        <v>24</v>
      </c>
      <c r="U7" s="24" t="s">
        <v>25</v>
      </c>
      <c r="V7" s="25">
        <f t="shared" si="0"/>
        <v>65890.262157190227</v>
      </c>
      <c r="W7" s="26">
        <f t="shared" ref="W7:W13" si="3">K7</f>
        <v>96390.262157190227</v>
      </c>
    </row>
    <row r="8" spans="1:23" ht="28.35" customHeight="1" x14ac:dyDescent="0.2">
      <c r="A8" s="24" t="s">
        <v>26</v>
      </c>
      <c r="B8" s="52">
        <f>Brennstoff!B38</f>
        <v>0.27</v>
      </c>
      <c r="C8" s="59" cm="1">
        <f t="array" ref="C8">_xlfn.IFS($A$3=$U$11,$B$3*$S$11/4,$A$3=$U$12,$B$3/4,$A$3=$U6,($B$3*5)/4,$A$3=$U$13,$B$3/4)</f>
        <v>7500</v>
      </c>
      <c r="D8" s="54">
        <f t="shared" ref="D8:D13" si="4">$D$5</f>
        <v>20</v>
      </c>
      <c r="E8" s="55">
        <f t="shared" ref="E8:E13" si="5">B8*(1+$H$3)^$E$5*C8*$E$5</f>
        <v>49417.696617892667</v>
      </c>
      <c r="F8" s="56" cm="1">
        <f t="array" ref="F8">_xlfn.IFS(
  D8&lt;=10, Investition!B7,
  D8&lt;=20, Investition!C7,
  D8&lt;=30, Investition!D7,
  D8&lt;=40, Investition!E7,
  D8&lt;=50, Investition!F7,
  D8&lt;=60, Investition!G7,
  D8&lt;=70, Investition!H7,
  D8&lt;=80, Investition!I7,
  D8&lt;=90, Investition!J7,
  D8&lt;=100, Investition!K7,
  TRUE, "Kein gültiger Bereich"
)</f>
        <v>41000</v>
      </c>
      <c r="G8" s="56">
        <f t="shared" si="1"/>
        <v>16500</v>
      </c>
      <c r="H8" s="56">
        <f>H7</f>
        <v>6000</v>
      </c>
      <c r="I8" s="56"/>
      <c r="J8" s="56">
        <v>0</v>
      </c>
      <c r="K8" s="55">
        <f>SUM(E8+F8-G8+H8)</f>
        <v>79917.696617892667</v>
      </c>
      <c r="L8" s="55">
        <f t="shared" si="2"/>
        <v>3995.8848308946335</v>
      </c>
      <c r="M8" s="55" cm="1">
        <f t="array" ref="M8">_xlfn.IFS($A$3=$R$6,$L$11-$L$8,$A$3=$R$8,$L$12-$L$8,$A$3=$R$11,$L$13-$L$8)</f>
        <v>2127.4653805601938</v>
      </c>
      <c r="N8" s="57" cm="1">
        <f t="array" ref="N8">_xlfn.IFS($A$3=$R$6,($F$8-$F$11-$G$8)/$M$8,$A$3=$R$7,($F$8-$F$12-$G$8)/$M$8,$A$3=$R$11,($F$8-$F$13-$G$8)/$M$8)</f>
        <v>1.1751072533747704</v>
      </c>
      <c r="O8" s="58">
        <v>20</v>
      </c>
      <c r="R8" t="s">
        <v>20</v>
      </c>
      <c r="U8" s="24"/>
      <c r="V8" s="25"/>
      <c r="W8" s="26"/>
    </row>
    <row r="9" spans="1:23" ht="28.35" customHeight="1" x14ac:dyDescent="0.2">
      <c r="A9" s="60" t="s">
        <v>27</v>
      </c>
      <c r="B9" s="61">
        <f>Brennstoff!B32</f>
        <v>125</v>
      </c>
      <c r="C9" s="62">
        <f>Brennstoff!D18</f>
        <v>16.295491580662684</v>
      </c>
      <c r="D9" s="54">
        <f t="shared" si="4"/>
        <v>20</v>
      </c>
      <c r="E9" s="55">
        <f t="shared" si="5"/>
        <v>49708.9913069514</v>
      </c>
      <c r="F9" s="56" cm="1">
        <f t="array" ref="F9">_xlfn.IFS(
  D9&lt;=10, Investition!B8,
  D9&lt;=20, Investition!C8,
  D9&lt;=30, Investition!D8,
  D9&lt;=40, Investition!E8,
  D9&lt;=50, Investition!F8,
  D9&lt;=60, Investition!G8,
  D9&lt;=70, Investition!H8,
  D9&lt;=80, Investition!I8,
  D9&lt;=90, Investition!J8,
  D9&lt;=100, Investition!K8,
  TRUE, "Kein gültiger Bereich"
)</f>
        <v>45000</v>
      </c>
      <c r="G9" s="56">
        <f>IF(F9&gt;30000,30000*$G$5/100,F9*$G$5)</f>
        <v>16500</v>
      </c>
      <c r="H9" s="56">
        <f>600*E5</f>
        <v>12000</v>
      </c>
      <c r="I9" s="56">
        <v>4000</v>
      </c>
      <c r="J9" s="56">
        <v>0</v>
      </c>
      <c r="K9" s="55">
        <f>SUM(E9+F9-G9+H9)</f>
        <v>90208.9913069514</v>
      </c>
      <c r="L9" s="55">
        <f t="shared" si="2"/>
        <v>4510.4495653475697</v>
      </c>
      <c r="M9" s="55" cm="1">
        <f t="array" ref="M9">_xlfn.IFS($A$3=$R$6,$L$11-$L$9,$A$3=$R$9,$L$12-$L$9,$A$3=$R$11,$L$13-$L$9)</f>
        <v>1612.9006461072577</v>
      </c>
      <c r="N9" s="57" cm="1">
        <f t="array" ref="N9">_xlfn.IFS($A$3=$R$6,($F$10-$F$11-$G$10)/$M$10,$A$3=$R$7,($F$10-$F$12-$G$10)/$M$10,$A$3=$R$11,($F$10-$F$13-$G$10)/$M$10)</f>
        <v>7.5180079959603869</v>
      </c>
      <c r="O9" s="58">
        <v>20</v>
      </c>
      <c r="U9" s="24"/>
      <c r="V9" s="25"/>
      <c r="W9" s="26"/>
    </row>
    <row r="10" spans="1:23" ht="28.35" customHeight="1" x14ac:dyDescent="0.2">
      <c r="A10" s="60" t="s">
        <v>28</v>
      </c>
      <c r="B10" s="63">
        <f>Brennstoff!B35</f>
        <v>35</v>
      </c>
      <c r="C10" s="64">
        <f>Brennstoff!D16</f>
        <v>29.354207436399218</v>
      </c>
      <c r="D10" s="54">
        <f t="shared" si="4"/>
        <v>20</v>
      </c>
      <c r="E10" s="55">
        <f t="shared" si="5"/>
        <v>25072.39808112261</v>
      </c>
      <c r="F10" s="56" cm="1">
        <f t="array" ref="F10">_xlfn.IFS(
  D10&lt;=10, Investition!B9,
  D10&lt;=20, Investition!C9,
  D10&lt;=30, Investition!D9,
  D10&lt;=40, Investition!E9,
  D10&lt;=50, Investition!F9,
  D10&lt;=60, Investition!G9,
  D10&lt;=70, Investition!H9,
  D10&lt;=80, Investition!I9,
  D10&lt;=90, Investition!J9,
  D10&lt;=100, Investition!K9,
  TRUE, "Kein gültiger Bereich"
)</f>
        <v>55000</v>
      </c>
      <c r="G10" s="56">
        <f t="shared" si="1"/>
        <v>16500</v>
      </c>
      <c r="H10" s="56">
        <f>750*E5</f>
        <v>15000</v>
      </c>
      <c r="I10" s="56">
        <v>4000</v>
      </c>
      <c r="J10" s="56">
        <v>0</v>
      </c>
      <c r="K10" s="55">
        <f>SUM(E10+F10-G10+H10)</f>
        <v>78572.398081122607</v>
      </c>
      <c r="L10" s="55">
        <f t="shared" si="2"/>
        <v>3928.6199040561305</v>
      </c>
      <c r="M10" s="55" cm="1">
        <f t="array" ref="M10">_xlfn.IFS($A$3=$R$6,$L$11-$L$10,$A$3=$R$10,$L$12-$L$10,$A$3=$R$11,$L$13-$L$10)</f>
        <v>2194.7303073986968</v>
      </c>
      <c r="N10" s="57" cm="1">
        <f t="array" ref="N10">_xlfn.IFS($A$3=$R$6,($F$9-$F$11-$G$9)/$M$9,$A$3=$R$7,($F$9-$F$12-$G$9)/$M$9,$A$3=$R$11,($F$9-$F$13-$G$9)/$M$9)</f>
        <v>4.0300064456467153</v>
      </c>
      <c r="O10" s="58">
        <v>20</v>
      </c>
      <c r="U10" s="24"/>
      <c r="V10" s="25"/>
      <c r="W10" s="26"/>
    </row>
    <row r="11" spans="1:23" ht="28.35" customHeight="1" x14ac:dyDescent="0.2">
      <c r="A11" s="24" t="s">
        <v>5</v>
      </c>
      <c r="B11" s="65">
        <f>Brennstoff!B31</f>
        <v>0.93</v>
      </c>
      <c r="C11" s="66" cm="1">
        <f t="array" ref="C11">_xlfn.IFS($A$3=$U$11,$B$3,$A$3=$U$12,$B$3/$S$11,$A$3=$U$6,$B$3/$S$6,$A$3=$U$13,$B$3/$S$11)</f>
        <v>3000</v>
      </c>
      <c r="D11" s="54">
        <f t="shared" si="4"/>
        <v>20</v>
      </c>
      <c r="E11" s="55">
        <f t="shared" si="5"/>
        <v>68086.604229096556</v>
      </c>
      <c r="F11" s="56" cm="1">
        <f t="array" ref="F11">_xlfn.IFS(
  D11&lt;=10, Investition!B10,
  D11&lt;=20, Investition!C10,
  D11&lt;=30, Investition!D10,
  D11&lt;=40, Investition!E10,
  D11&lt;=50, Investition!F10,
  D11&lt;=60, Investition!G10,
  D11&lt;=70, Investition!H10,
  D11&lt;=80, Investition!I10,
  D11&lt;=90, Investition!J10,
  D11&lt;=100, Investition!K10,
  TRUE, "Kein gültiger Bereich"
)</f>
        <v>22000</v>
      </c>
      <c r="G11" s="56">
        <v>0</v>
      </c>
      <c r="H11" s="56">
        <f>280*E5</f>
        <v>5600</v>
      </c>
      <c r="I11" s="56">
        <f>150*E5</f>
        <v>3000</v>
      </c>
      <c r="J11" s="56">
        <f>C11*10*0.266/1000*J5*E5</f>
        <v>23940</v>
      </c>
      <c r="K11" s="55">
        <f>SUM(E11+F11+G11+H11+I11+J11)-(C11*10*0.266/1000*E5)</f>
        <v>122467.00422909655</v>
      </c>
      <c r="L11" s="55">
        <f>K11/O11</f>
        <v>6123.3502114548273</v>
      </c>
      <c r="M11" s="55"/>
      <c r="N11" s="55"/>
      <c r="O11" s="58">
        <v>20</v>
      </c>
      <c r="R11" t="s">
        <v>29</v>
      </c>
      <c r="S11">
        <v>10</v>
      </c>
      <c r="T11" t="s">
        <v>30</v>
      </c>
      <c r="U11" s="24" t="s">
        <v>5</v>
      </c>
      <c r="V11" s="25">
        <f>E11</f>
        <v>68086.604229096556</v>
      </c>
      <c r="W11" s="26">
        <f>K11</f>
        <v>122467.00422909655</v>
      </c>
    </row>
    <row r="12" spans="1:23" ht="28.35" customHeight="1" x14ac:dyDescent="0.2">
      <c r="A12" s="24" t="s">
        <v>23</v>
      </c>
      <c r="B12" s="52">
        <f>Brennstoff!B30</f>
        <v>0.09</v>
      </c>
      <c r="C12" s="59" cm="1">
        <f t="array" ref="C12">_xlfn.IFS(A3=U11,B3*S11,A3=U12,B3,A3=U6,B3*S7,A3=U13,B3)</f>
        <v>30000</v>
      </c>
      <c r="D12" s="54">
        <f t="shared" si="4"/>
        <v>20</v>
      </c>
      <c r="E12" s="55">
        <f t="shared" si="5"/>
        <v>65890.262157190213</v>
      </c>
      <c r="F12" s="56" cm="1">
        <f t="array" ref="F12">_xlfn.IFS(
  D12&lt;=10, Investition!B11,
  D12&lt;=20, Investition!C11,
  D12&lt;=30, Investition!D11,
  D12&lt;=40, Investition!E11,
  D12&lt;=50, Investition!F11,
  D12&lt;=60, Investition!G11,
  D12&lt;=70, Investition!H11,
  D12&lt;=80, Investition!I11,
  D12&lt;=90, Investition!J11,
  D12&lt;=100, Investition!K11,
  TRUE, "Kein gültiger Bereich"
)/O12*E5</f>
        <v>18000</v>
      </c>
      <c r="G12" s="56">
        <v>0</v>
      </c>
      <c r="H12" s="56">
        <f>280*E5</f>
        <v>5600</v>
      </c>
      <c r="I12" s="56">
        <f>I11</f>
        <v>3000</v>
      </c>
      <c r="J12" s="56">
        <f>C12*0.201/1000*J5*E5</f>
        <v>18090</v>
      </c>
      <c r="K12" s="55">
        <f>SUM(E12+F12+G12+H12+I12+J12)-(C12*0.021/1000*E5)</f>
        <v>110567.66215719021</v>
      </c>
      <c r="L12" s="55">
        <f>K12/O12</f>
        <v>5528.3831078595103</v>
      </c>
      <c r="M12" s="55"/>
      <c r="N12" s="55"/>
      <c r="O12" s="58">
        <v>20</v>
      </c>
      <c r="S12">
        <v>5</v>
      </c>
      <c r="T12" t="s">
        <v>24</v>
      </c>
      <c r="U12" s="24" t="s">
        <v>23</v>
      </c>
      <c r="V12" s="25">
        <f>E12</f>
        <v>65890.262157190213</v>
      </c>
      <c r="W12" s="26">
        <f>K12</f>
        <v>110567.66215719021</v>
      </c>
    </row>
    <row r="13" spans="1:23" ht="28.35" customHeight="1" x14ac:dyDescent="0.2">
      <c r="A13" s="24" t="s">
        <v>29</v>
      </c>
      <c r="B13" s="52">
        <f>Brennstoff!B37</f>
        <v>0.16</v>
      </c>
      <c r="C13" s="59" cm="1">
        <f t="array" ref="C13">_xlfn.IFS(A3=U11,B3*S11,A3=U12,B3,A3=U6,B3*5,A3=U13,B3)</f>
        <v>30000</v>
      </c>
      <c r="D13" s="54">
        <f t="shared" si="4"/>
        <v>20</v>
      </c>
      <c r="E13" s="55">
        <f t="shared" si="5"/>
        <v>117138.24383500485</v>
      </c>
      <c r="F13" s="56" cm="1">
        <f t="array" ref="F13">_xlfn.IFS(
  D13&lt;=10, Investition!B12,
  D13&lt;=20, Investition!C12,
  D13&lt;=30, Investition!D12,
  D13&lt;=40, Investition!E12,
  D13&lt;=50, Investition!F12,
  D13&lt;=60, Investition!G12,
  D13&lt;=70, Investition!H12,
  D13&lt;=80, Investition!I12,
  D13&lt;=90, Investition!J12,
  D13&lt;=100, Investition!K12,
  TRUE, "Kein gültiger Bereich"
)</f>
        <v>15000</v>
      </c>
      <c r="G13" s="56">
        <f>IF(F13&gt;30000,30000*$G$5/100,F13*$G$5/100)</f>
        <v>8250</v>
      </c>
      <c r="H13" s="56">
        <v>2000</v>
      </c>
      <c r="I13" s="56"/>
      <c r="J13" s="56"/>
      <c r="K13" s="55">
        <f>SUM(E13+F13-G13+H13)</f>
        <v>125888.24383500486</v>
      </c>
      <c r="L13" s="55">
        <f t="shared" si="2"/>
        <v>8392.549589000324</v>
      </c>
      <c r="M13" s="55"/>
      <c r="N13" s="55"/>
      <c r="O13" s="58">
        <v>15</v>
      </c>
      <c r="S13">
        <v>5</v>
      </c>
      <c r="T13" t="s">
        <v>24</v>
      </c>
      <c r="U13" s="24" t="s">
        <v>29</v>
      </c>
      <c r="V13" s="25">
        <f t="shared" si="0"/>
        <v>117138.24383500485</v>
      </c>
      <c r="W13" s="26">
        <f t="shared" si="3"/>
        <v>125888.24383500486</v>
      </c>
    </row>
    <row r="14" spans="1:23" x14ac:dyDescent="0.2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W14" s="26"/>
    </row>
    <row r="15" spans="1:23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pans="1:23" x14ac:dyDescent="0.2">
      <c r="B16"/>
      <c r="C16"/>
      <c r="D16"/>
      <c r="E16"/>
      <c r="F16" t="s">
        <v>31</v>
      </c>
    </row>
    <row r="17" spans="2:19" x14ac:dyDescent="0.2">
      <c r="B17"/>
      <c r="C17"/>
      <c r="D17"/>
      <c r="E17"/>
      <c r="F17" t="s">
        <v>32</v>
      </c>
    </row>
    <row r="18" spans="2:19" x14ac:dyDescent="0.2">
      <c r="B18"/>
      <c r="C18"/>
      <c r="D18"/>
      <c r="E18"/>
      <c r="F18" t="s">
        <v>33</v>
      </c>
      <c r="R18" s="31"/>
    </row>
    <row r="19" spans="2:19" x14ac:dyDescent="0.2">
      <c r="B19"/>
      <c r="C19"/>
      <c r="D19"/>
      <c r="E19"/>
      <c r="S19" s="38"/>
    </row>
    <row r="20" spans="2:19" x14ac:dyDescent="0.2">
      <c r="B20"/>
      <c r="C20"/>
      <c r="D20"/>
      <c r="E20"/>
    </row>
    <row r="21" spans="2:19" x14ac:dyDescent="0.2">
      <c r="B21"/>
      <c r="C21"/>
      <c r="D21"/>
      <c r="E21"/>
    </row>
    <row r="22" spans="2:19" x14ac:dyDescent="0.2">
      <c r="B22"/>
      <c r="C22"/>
      <c r="D22"/>
      <c r="E22"/>
      <c r="R22" s="32"/>
    </row>
    <row r="23" spans="2:19" x14ac:dyDescent="0.2">
      <c r="B23"/>
      <c r="C23"/>
      <c r="D23"/>
      <c r="E23"/>
    </row>
    <row r="24" spans="2:19" x14ac:dyDescent="0.2">
      <c r="B24"/>
      <c r="C24"/>
      <c r="D24"/>
      <c r="E24"/>
    </row>
    <row r="25" spans="2:19" x14ac:dyDescent="0.2">
      <c r="B25"/>
      <c r="C25"/>
      <c r="D25"/>
      <c r="E25"/>
    </row>
    <row r="26" spans="2:19" x14ac:dyDescent="0.2">
      <c r="B26"/>
      <c r="C26"/>
      <c r="D26"/>
      <c r="E26"/>
    </row>
    <row r="47" spans="1:2" x14ac:dyDescent="0.2">
      <c r="A47" s="67" t="s">
        <v>34</v>
      </c>
      <c r="B47" s="134">
        <v>45897</v>
      </c>
    </row>
    <row r="48" spans="1:2" x14ac:dyDescent="0.2">
      <c r="A48" s="68" t="s">
        <v>35</v>
      </c>
    </row>
  </sheetData>
  <sheetProtection sheet="1" objects="1" scenarios="1"/>
  <mergeCells count="9">
    <mergeCell ref="A14:O15"/>
    <mergeCell ref="B5:C5"/>
    <mergeCell ref="A1:O1"/>
    <mergeCell ref="B2:C2"/>
    <mergeCell ref="B3:C3"/>
    <mergeCell ref="H2:I2"/>
    <mergeCell ref="H3:I3"/>
    <mergeCell ref="F2:G2"/>
    <mergeCell ref="F3:G3"/>
  </mergeCells>
  <conditionalFormatting sqref="E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:E13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K1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N1048576 K3:N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N13 L6:M1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V13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A3" xr:uid="{EED881B8-6A7E-4D66-B524-A479B62432E6}">
      <formula1>$R$6:$R$11</formula1>
    </dataValidation>
    <dataValidation type="whole" errorStyle="warning" operator="lessThanOrEqual" allowBlank="1" showInputMessage="1" showErrorMessage="1" errorTitle="Max. 70% " error="Max. 70% Zulässig" sqref="G5" xr:uid="{2672DF92-66E0-4CC7-B3E4-A40AD4037FC7}">
      <formula1>70</formula1>
    </dataValidation>
  </dataValidations>
  <pageMargins left="0.25" right="0.25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ECFE-05C6-4240-A81F-5F30C4915A85}">
  <sheetPr>
    <pageSetUpPr fitToPage="1"/>
  </sheetPr>
  <dimension ref="A1:AA46"/>
  <sheetViews>
    <sheetView topLeftCell="A2" zoomScale="80" zoomScaleNormal="80" workbookViewId="0">
      <selection activeCell="E5" sqref="E5"/>
    </sheetView>
  </sheetViews>
  <sheetFormatPr baseColWidth="10" defaultColWidth="11.42578125" defaultRowHeight="13.5" x14ac:dyDescent="0.25"/>
  <cols>
    <col min="1" max="1" width="47.85546875" style="16" bestFit="1" customWidth="1"/>
    <col min="2" max="2" width="19.85546875" style="16" customWidth="1"/>
    <col min="3" max="3" width="10.5703125" style="16" customWidth="1"/>
    <col min="4" max="4" width="11.140625" style="18" customWidth="1"/>
    <col min="5" max="5" width="10.140625" style="16" customWidth="1"/>
    <col min="6" max="6" width="10.5703125" style="16" customWidth="1"/>
    <col min="7" max="7" width="13.42578125" style="16" customWidth="1"/>
    <col min="8" max="8" width="16.42578125" style="16" customWidth="1"/>
    <col min="9" max="9" width="15.85546875" style="16" customWidth="1"/>
    <col min="10" max="10" width="14.42578125" style="16" customWidth="1"/>
    <col min="11" max="11" width="13.42578125" style="16" customWidth="1"/>
    <col min="12" max="12" width="12.85546875" style="16" customWidth="1"/>
    <col min="13" max="13" width="19.42578125" style="16" customWidth="1"/>
    <col min="14" max="16" width="11.42578125" style="16"/>
    <col min="17" max="17" width="8.85546875" style="16" bestFit="1" customWidth="1"/>
    <col min="18" max="18" width="8.85546875" style="16" customWidth="1"/>
    <col min="19" max="19" width="9.5703125" style="16" customWidth="1"/>
    <col min="20" max="20" width="5.28515625" style="16" bestFit="1" customWidth="1"/>
    <col min="21" max="21" width="11.42578125" style="16"/>
    <col min="22" max="22" width="8.85546875" style="16" bestFit="1" customWidth="1"/>
    <col min="23" max="23" width="9" style="16" bestFit="1" customWidth="1"/>
    <col min="24" max="16384" width="11.42578125" style="16"/>
  </cols>
  <sheetData>
    <row r="1" spans="1:12" ht="60" customHeight="1" x14ac:dyDescent="0.25">
      <c r="A1" s="160" t="s">
        <v>36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5"/>
    </row>
    <row r="2" spans="1:12" ht="16.5" thickBot="1" x14ac:dyDescent="0.3">
      <c r="A2" s="17"/>
      <c r="B2" s="15"/>
      <c r="C2" s="15"/>
      <c r="D2" s="69"/>
      <c r="E2" s="15"/>
      <c r="F2" s="15"/>
      <c r="G2" s="15"/>
      <c r="H2" s="15"/>
      <c r="I2" s="15"/>
      <c r="J2" s="15"/>
      <c r="K2" s="15"/>
      <c r="L2" s="15"/>
    </row>
    <row r="3" spans="1:12" ht="16.5" thickBot="1" x14ac:dyDescent="0.3">
      <c r="A3" s="70"/>
      <c r="B3" s="71"/>
      <c r="C3" s="71"/>
      <c r="D3" s="72"/>
      <c r="E3" s="71"/>
      <c r="F3" s="71"/>
      <c r="G3" s="71"/>
      <c r="H3" s="71"/>
      <c r="I3" s="71"/>
      <c r="J3" s="71"/>
      <c r="K3" s="73"/>
      <c r="L3" s="15"/>
    </row>
    <row r="4" spans="1:12" ht="15.75" x14ac:dyDescent="0.25">
      <c r="A4" s="74"/>
      <c r="B4" s="15"/>
      <c r="C4" s="15"/>
      <c r="D4" s="153" t="s">
        <v>37</v>
      </c>
      <c r="E4" s="153"/>
      <c r="F4" s="75"/>
      <c r="G4" s="154" t="s">
        <v>38</v>
      </c>
      <c r="H4" s="155"/>
      <c r="I4" s="156" t="s">
        <v>3</v>
      </c>
      <c r="J4" s="156"/>
      <c r="K4" s="157"/>
    </row>
    <row r="5" spans="1:12" ht="16.5" thickBot="1" x14ac:dyDescent="0.3">
      <c r="A5" s="74"/>
      <c r="B5" s="76" t="s">
        <v>39</v>
      </c>
      <c r="C5" s="76"/>
      <c r="D5" s="69">
        <f>Vergleich!C12</f>
        <v>30000</v>
      </c>
      <c r="E5" s="15" t="s">
        <v>40</v>
      </c>
      <c r="F5" s="15"/>
      <c r="G5" s="77">
        <f>D5/Vergleich!F3</f>
        <v>15</v>
      </c>
      <c r="H5" s="78" t="s">
        <v>41</v>
      </c>
      <c r="I5" s="158">
        <f>Vergleich!F3</f>
        <v>2000</v>
      </c>
      <c r="J5" s="159"/>
      <c r="K5" s="80" t="s">
        <v>42</v>
      </c>
    </row>
    <row r="6" spans="1:12" ht="15.75" x14ac:dyDescent="0.25">
      <c r="A6" s="74"/>
      <c r="D6" s="16"/>
      <c r="F6" s="15"/>
      <c r="G6" s="15"/>
      <c r="H6" s="15"/>
      <c r="I6" s="15"/>
      <c r="J6" s="15"/>
      <c r="K6" s="80"/>
    </row>
    <row r="7" spans="1:12" ht="15.75" x14ac:dyDescent="0.25">
      <c r="A7" s="81"/>
      <c r="D7" s="16"/>
      <c r="F7" s="82"/>
      <c r="G7" s="15"/>
      <c r="H7" s="161" t="s">
        <v>43</v>
      </c>
      <c r="I7" s="161"/>
      <c r="J7" s="161"/>
      <c r="K7" s="83"/>
    </row>
    <row r="8" spans="1:12" ht="15.75" x14ac:dyDescent="0.25">
      <c r="A8" s="84"/>
      <c r="D8" s="16"/>
      <c r="F8" s="82"/>
      <c r="G8" s="85"/>
      <c r="H8" s="86" t="s">
        <v>44</v>
      </c>
      <c r="I8" s="87" t="s">
        <v>45</v>
      </c>
      <c r="J8" s="87" t="s">
        <v>46</v>
      </c>
      <c r="K8" s="83"/>
    </row>
    <row r="9" spans="1:12" ht="15.75" x14ac:dyDescent="0.25">
      <c r="A9" s="84"/>
      <c r="D9" s="16"/>
      <c r="F9" s="82"/>
      <c r="G9" s="85"/>
      <c r="H9" s="86" t="s">
        <v>47</v>
      </c>
      <c r="I9" s="87" t="s">
        <v>48</v>
      </c>
      <c r="J9" s="87" t="s">
        <v>46</v>
      </c>
      <c r="K9" s="83"/>
    </row>
    <row r="10" spans="1:12" ht="15.75" x14ac:dyDescent="0.25">
      <c r="A10" s="74"/>
      <c r="D10" s="16"/>
      <c r="F10" s="15"/>
      <c r="G10" s="15"/>
      <c r="H10" s="86" t="s">
        <v>49</v>
      </c>
      <c r="I10" s="87" t="s">
        <v>50</v>
      </c>
      <c r="J10" s="87" t="s">
        <v>46</v>
      </c>
      <c r="K10" s="83"/>
    </row>
    <row r="11" spans="1:12" ht="15.75" x14ac:dyDescent="0.25">
      <c r="A11" s="74"/>
      <c r="D11" s="16"/>
      <c r="F11" s="88"/>
      <c r="G11" s="88"/>
      <c r="H11" s="86" t="s">
        <v>51</v>
      </c>
      <c r="I11" s="87" t="s">
        <v>52</v>
      </c>
      <c r="J11" s="87" t="s">
        <v>46</v>
      </c>
      <c r="K11" s="83"/>
      <c r="L11" s="15"/>
    </row>
    <row r="12" spans="1:12" ht="15.75" x14ac:dyDescent="0.25">
      <c r="A12" s="89"/>
      <c r="D12" s="16"/>
      <c r="F12" s="88"/>
      <c r="G12" s="88"/>
      <c r="H12" s="88"/>
      <c r="I12" s="88"/>
      <c r="J12" s="88"/>
      <c r="K12" s="90"/>
      <c r="L12" s="15"/>
    </row>
    <row r="13" spans="1:12" s="20" customFormat="1" ht="33.950000000000003" customHeight="1" x14ac:dyDescent="0.2">
      <c r="A13" s="164" t="s">
        <v>53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6"/>
      <c r="L13" s="19"/>
    </row>
    <row r="14" spans="1:12" ht="9.9499999999999993" customHeight="1" thickBot="1" x14ac:dyDescent="0.3">
      <c r="A14" s="91"/>
      <c r="B14" s="92"/>
      <c r="C14" s="15"/>
      <c r="D14" s="79"/>
      <c r="E14" s="88"/>
      <c r="F14" s="88"/>
      <c r="G14" s="88"/>
      <c r="H14" s="88"/>
      <c r="I14" s="93"/>
      <c r="J14" s="93"/>
      <c r="K14" s="90"/>
      <c r="L14" s="15"/>
    </row>
    <row r="15" spans="1:12" ht="15.75" x14ac:dyDescent="0.25">
      <c r="A15" s="167" t="s">
        <v>20</v>
      </c>
      <c r="B15" s="168"/>
      <c r="D15" s="94">
        <f>D5/F34/1000</f>
        <v>6</v>
      </c>
      <c r="E15" s="95" t="s">
        <v>54</v>
      </c>
      <c r="G15" s="94">
        <f>D15/0.65</f>
        <v>9.2307692307692299</v>
      </c>
      <c r="H15" s="95" t="s">
        <v>55</v>
      </c>
      <c r="I15" s="93"/>
      <c r="J15" s="93"/>
      <c r="K15" s="90"/>
      <c r="L15" s="15"/>
    </row>
    <row r="16" spans="1:12" ht="15.75" x14ac:dyDescent="0.25">
      <c r="A16" s="167" t="s">
        <v>56</v>
      </c>
      <c r="B16" s="168"/>
      <c r="D16" s="96">
        <f>D5/J35</f>
        <v>29.354207436399218</v>
      </c>
      <c r="E16" s="97" t="s">
        <v>57</v>
      </c>
      <c r="G16" s="98">
        <f>D16*291/1000</f>
        <v>8.5420743639921728</v>
      </c>
      <c r="H16" s="97" t="s">
        <v>54</v>
      </c>
      <c r="I16" s="93"/>
      <c r="J16" s="93"/>
      <c r="K16" s="90"/>
      <c r="L16" s="15"/>
    </row>
    <row r="17" spans="1:16" ht="16.5" thickBot="1" x14ac:dyDescent="0.3">
      <c r="A17" s="167" t="s">
        <v>58</v>
      </c>
      <c r="B17" s="168"/>
      <c r="D17" s="96">
        <f>D5/J36</f>
        <v>34.364261168384878</v>
      </c>
      <c r="E17" s="97" t="s">
        <v>57</v>
      </c>
      <c r="G17" s="98">
        <f>D17*230/1000</f>
        <v>7.9037800687285218</v>
      </c>
      <c r="H17" s="97" t="s">
        <v>54</v>
      </c>
      <c r="I17" s="93"/>
      <c r="J17" s="93"/>
      <c r="K17" s="90"/>
      <c r="L17" s="15"/>
    </row>
    <row r="18" spans="1:16" ht="15.75" x14ac:dyDescent="0.25">
      <c r="A18" s="167" t="s">
        <v>59</v>
      </c>
      <c r="B18" s="168"/>
      <c r="D18" s="96">
        <f>D5/J32</f>
        <v>16.295491580662684</v>
      </c>
      <c r="E18" s="97" t="s">
        <v>60</v>
      </c>
      <c r="G18" s="98">
        <f>D18/1.4*2</f>
        <v>23.279273686660979</v>
      </c>
      <c r="H18" s="97" t="s">
        <v>57</v>
      </c>
      <c r="I18" s="99">
        <f>D5/F32</f>
        <v>7772.020725388601</v>
      </c>
      <c r="J18" s="100"/>
      <c r="K18" s="95" t="s">
        <v>61</v>
      </c>
      <c r="L18" s="15"/>
    </row>
    <row r="19" spans="1:16" ht="16.5" thickBot="1" x14ac:dyDescent="0.3">
      <c r="A19" s="167" t="s">
        <v>62</v>
      </c>
      <c r="B19" s="168"/>
      <c r="D19" s="101">
        <f>D5/J33</f>
        <v>23.006134969325153</v>
      </c>
      <c r="E19" s="102" t="s">
        <v>60</v>
      </c>
      <c r="G19" s="103">
        <f>D19/1.4*2.2</f>
        <v>36.152497808939536</v>
      </c>
      <c r="H19" s="102" t="s">
        <v>57</v>
      </c>
      <c r="I19" s="104">
        <f>D5/F33</f>
        <v>7462.6865671641799</v>
      </c>
      <c r="J19" s="105"/>
      <c r="K19" s="102" t="s">
        <v>61</v>
      </c>
      <c r="L19" s="15"/>
    </row>
    <row r="20" spans="1:16" ht="9.9499999999999993" customHeight="1" x14ac:dyDescent="0.25">
      <c r="A20" s="89"/>
      <c r="B20" s="92"/>
      <c r="C20" s="15"/>
      <c r="D20" s="79"/>
      <c r="E20" s="88"/>
      <c r="F20" s="88"/>
      <c r="G20" s="106"/>
      <c r="H20" s="88"/>
      <c r="I20" s="79"/>
      <c r="J20" s="79"/>
      <c r="K20" s="90"/>
      <c r="L20" s="15"/>
    </row>
    <row r="21" spans="1:16" s="23" customFormat="1" ht="33.950000000000003" customHeight="1" x14ac:dyDescent="0.2">
      <c r="A21" s="164" t="s">
        <v>63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6"/>
    </row>
    <row r="22" spans="1:16" ht="9.9499999999999993" customHeight="1" thickBot="1" x14ac:dyDescent="0.3">
      <c r="A22" s="91"/>
      <c r="B22" s="107"/>
      <c r="I22" s="108"/>
      <c r="J22" s="108"/>
      <c r="K22" s="83"/>
    </row>
    <row r="23" spans="1:16" ht="15.75" x14ac:dyDescent="0.25">
      <c r="A23" s="167" t="s">
        <v>64</v>
      </c>
      <c r="B23" s="168"/>
      <c r="D23" s="109">
        <f>D5/2</f>
        <v>15000</v>
      </c>
      <c r="E23" s="95" t="s">
        <v>40</v>
      </c>
      <c r="G23" s="108"/>
      <c r="H23" s="108"/>
      <c r="I23" s="108"/>
      <c r="J23" s="108"/>
      <c r="K23" s="83"/>
    </row>
    <row r="24" spans="1:16" ht="15.75" x14ac:dyDescent="0.25">
      <c r="A24" s="167" t="s">
        <v>65</v>
      </c>
      <c r="B24" s="168"/>
      <c r="D24" s="110">
        <f>D5/3</f>
        <v>10000</v>
      </c>
      <c r="E24" s="97" t="s">
        <v>40</v>
      </c>
      <c r="G24" s="108"/>
      <c r="H24" s="108"/>
      <c r="I24" s="108"/>
      <c r="J24" s="108"/>
      <c r="K24" s="83"/>
    </row>
    <row r="25" spans="1:16" ht="16.5" thickBot="1" x14ac:dyDescent="0.3">
      <c r="A25" s="169" t="s">
        <v>66</v>
      </c>
      <c r="B25" s="170"/>
      <c r="C25" s="111"/>
      <c r="D25" s="112">
        <f>D5/4</f>
        <v>7500</v>
      </c>
      <c r="E25" s="102" t="s">
        <v>40</v>
      </c>
      <c r="F25" s="111"/>
      <c r="G25" s="113"/>
      <c r="H25" s="113"/>
      <c r="I25" s="113"/>
      <c r="J25" s="113"/>
      <c r="K25" s="114"/>
    </row>
    <row r="26" spans="1:16" ht="9.9499999999999993" customHeight="1" x14ac:dyDescent="0.25">
      <c r="A26" s="89"/>
      <c r="B26" s="92"/>
      <c r="D26" s="69"/>
      <c r="E26" s="88"/>
      <c r="H26" s="107"/>
      <c r="I26" s="108"/>
      <c r="J26" s="108"/>
    </row>
    <row r="27" spans="1:16" ht="14.25" thickBot="1" x14ac:dyDescent="0.3"/>
    <row r="28" spans="1:16" s="23" customFormat="1" ht="33.950000000000003" customHeight="1" x14ac:dyDescent="0.2">
      <c r="A28" s="162" t="s">
        <v>67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6" s="20" customFormat="1" ht="33.950000000000003" customHeight="1" x14ac:dyDescent="0.2">
      <c r="A29" s="115" t="s">
        <v>68</v>
      </c>
      <c r="B29" s="116" t="s">
        <v>69</v>
      </c>
      <c r="C29" s="117" t="s">
        <v>70</v>
      </c>
      <c r="D29" s="118" t="s">
        <v>71</v>
      </c>
      <c r="E29" s="119" t="s">
        <v>70</v>
      </c>
      <c r="F29" s="119" t="s">
        <v>72</v>
      </c>
      <c r="G29" s="120"/>
      <c r="H29" s="118" t="s">
        <v>71</v>
      </c>
      <c r="I29" s="119" t="s">
        <v>70</v>
      </c>
      <c r="J29" s="119" t="s">
        <v>72</v>
      </c>
      <c r="K29" s="120"/>
      <c r="N29" s="21"/>
      <c r="P29" s="22"/>
    </row>
    <row r="30" spans="1:16" ht="15" customHeight="1" x14ac:dyDescent="0.25">
      <c r="A30" s="121" t="s">
        <v>73</v>
      </c>
      <c r="B30" s="35">
        <v>0.09</v>
      </c>
      <c r="C30" s="97" t="s">
        <v>40</v>
      </c>
      <c r="D30" s="122">
        <v>1</v>
      </c>
      <c r="E30" s="123" t="s">
        <v>74</v>
      </c>
      <c r="F30" s="124">
        <v>10</v>
      </c>
      <c r="G30" s="97" t="s">
        <v>40</v>
      </c>
      <c r="H30" s="122">
        <v>1</v>
      </c>
      <c r="I30" s="123" t="s">
        <v>40</v>
      </c>
      <c r="J30" s="125">
        <v>1</v>
      </c>
      <c r="K30" s="97" t="s">
        <v>40</v>
      </c>
    </row>
    <row r="31" spans="1:16" ht="15" customHeight="1" x14ac:dyDescent="0.25">
      <c r="A31" s="121" t="s">
        <v>75</v>
      </c>
      <c r="B31" s="35">
        <v>0.93</v>
      </c>
      <c r="C31" s="97" t="s">
        <v>76</v>
      </c>
      <c r="D31" s="122">
        <v>1</v>
      </c>
      <c r="E31" s="123" t="s">
        <v>77</v>
      </c>
      <c r="F31" s="124">
        <v>10</v>
      </c>
      <c r="G31" s="97" t="s">
        <v>40</v>
      </c>
      <c r="H31" s="122">
        <v>1</v>
      </c>
      <c r="I31" s="123" t="s">
        <v>76</v>
      </c>
      <c r="J31" s="125">
        <f>D31*F31</f>
        <v>10</v>
      </c>
      <c r="K31" s="97" t="s">
        <v>40</v>
      </c>
    </row>
    <row r="32" spans="1:16" ht="15" customHeight="1" x14ac:dyDescent="0.25">
      <c r="A32" s="121" t="s">
        <v>78</v>
      </c>
      <c r="B32" s="35">
        <v>125</v>
      </c>
      <c r="C32" s="97" t="s">
        <v>60</v>
      </c>
      <c r="D32" s="122">
        <v>1</v>
      </c>
      <c r="E32" s="123" t="s">
        <v>61</v>
      </c>
      <c r="F32" s="124">
        <v>3.86</v>
      </c>
      <c r="G32" s="97" t="s">
        <v>40</v>
      </c>
      <c r="H32" s="122">
        <v>1</v>
      </c>
      <c r="I32" s="123" t="s">
        <v>60</v>
      </c>
      <c r="J32" s="125">
        <v>1841</v>
      </c>
      <c r="K32" s="97" t="s">
        <v>40</v>
      </c>
    </row>
    <row r="33" spans="1:27" ht="15" customHeight="1" x14ac:dyDescent="0.25">
      <c r="A33" s="121" t="s">
        <v>79</v>
      </c>
      <c r="B33" s="35">
        <v>91.5</v>
      </c>
      <c r="C33" s="97" t="s">
        <v>60</v>
      </c>
      <c r="D33" s="122">
        <v>1</v>
      </c>
      <c r="E33" s="123" t="s">
        <v>61</v>
      </c>
      <c r="F33" s="124">
        <v>4.0199999999999996</v>
      </c>
      <c r="G33" s="97" t="s">
        <v>40</v>
      </c>
      <c r="H33" s="122">
        <v>1</v>
      </c>
      <c r="I33" s="123" t="s">
        <v>60</v>
      </c>
      <c r="J33" s="125">
        <v>1304</v>
      </c>
      <c r="K33" s="97" t="s">
        <v>40</v>
      </c>
    </row>
    <row r="34" spans="1:27" ht="15" customHeight="1" x14ac:dyDescent="0.25">
      <c r="A34" s="121" t="s">
        <v>80</v>
      </c>
      <c r="B34" s="35">
        <v>290</v>
      </c>
      <c r="C34" s="97" t="s">
        <v>54</v>
      </c>
      <c r="D34" s="122">
        <v>1</v>
      </c>
      <c r="E34" s="123" t="s">
        <v>61</v>
      </c>
      <c r="F34" s="124">
        <v>5</v>
      </c>
      <c r="G34" s="97" t="s">
        <v>40</v>
      </c>
      <c r="H34" s="122">
        <v>1</v>
      </c>
      <c r="I34" s="123" t="s">
        <v>54</v>
      </c>
      <c r="J34" s="125">
        <f>D34*F34*1000</f>
        <v>5000</v>
      </c>
      <c r="K34" s="97" t="s">
        <v>40</v>
      </c>
    </row>
    <row r="35" spans="1:27" ht="15" customHeight="1" x14ac:dyDescent="0.25">
      <c r="A35" s="121" t="s">
        <v>56</v>
      </c>
      <c r="B35" s="35">
        <v>35</v>
      </c>
      <c r="C35" s="97" t="s">
        <v>57</v>
      </c>
      <c r="D35" s="122">
        <v>1</v>
      </c>
      <c r="E35" s="123" t="s">
        <v>61</v>
      </c>
      <c r="F35" s="124">
        <v>3.26</v>
      </c>
      <c r="G35" s="97" t="s">
        <v>40</v>
      </c>
      <c r="H35" s="122">
        <v>1</v>
      </c>
      <c r="I35" s="123" t="s">
        <v>57</v>
      </c>
      <c r="J35" s="125">
        <v>1022</v>
      </c>
      <c r="K35" s="97" t="s">
        <v>40</v>
      </c>
      <c r="AA35" s="15"/>
    </row>
    <row r="36" spans="1:27" ht="15" customHeight="1" x14ac:dyDescent="0.25">
      <c r="A36" s="121" t="s">
        <v>58</v>
      </c>
      <c r="B36" s="35">
        <v>35</v>
      </c>
      <c r="C36" s="97" t="s">
        <v>57</v>
      </c>
      <c r="D36" s="122">
        <v>1</v>
      </c>
      <c r="E36" s="123" t="s">
        <v>61</v>
      </c>
      <c r="F36" s="124">
        <v>3.69</v>
      </c>
      <c r="G36" s="97" t="s">
        <v>40</v>
      </c>
      <c r="H36" s="122">
        <v>1</v>
      </c>
      <c r="I36" s="123" t="s">
        <v>57</v>
      </c>
      <c r="J36" s="125">
        <v>873</v>
      </c>
      <c r="K36" s="97" t="s">
        <v>40</v>
      </c>
      <c r="AA36" s="15"/>
    </row>
    <row r="37" spans="1:27" ht="15" customHeight="1" x14ac:dyDescent="0.25">
      <c r="A37" s="121" t="s">
        <v>29</v>
      </c>
      <c r="B37" s="35">
        <v>0.16</v>
      </c>
      <c r="C37" s="97" t="s">
        <v>40</v>
      </c>
      <c r="D37" s="122">
        <v>1</v>
      </c>
      <c r="E37" s="123" t="s">
        <v>40</v>
      </c>
      <c r="F37" s="124">
        <v>1</v>
      </c>
      <c r="G37" s="97" t="s">
        <v>40</v>
      </c>
      <c r="H37" s="122">
        <v>1</v>
      </c>
      <c r="I37" s="123" t="s">
        <v>40</v>
      </c>
      <c r="J37" s="125">
        <f>D37*F37</f>
        <v>1</v>
      </c>
      <c r="K37" s="97" t="s">
        <v>40</v>
      </c>
    </row>
    <row r="38" spans="1:27" s="17" customFormat="1" ht="15" customHeight="1" thickBot="1" x14ac:dyDescent="0.3">
      <c r="A38" s="126" t="s">
        <v>81</v>
      </c>
      <c r="B38" s="36">
        <v>0.27</v>
      </c>
      <c r="C38" s="102" t="s">
        <v>40</v>
      </c>
      <c r="D38" s="104">
        <v>1</v>
      </c>
      <c r="E38" s="127" t="s">
        <v>40</v>
      </c>
      <c r="F38" s="128">
        <v>1</v>
      </c>
      <c r="G38" s="102" t="s">
        <v>40</v>
      </c>
      <c r="H38" s="104">
        <v>1</v>
      </c>
      <c r="I38" s="127" t="s">
        <v>40</v>
      </c>
      <c r="J38" s="129">
        <f>D38*F38</f>
        <v>1</v>
      </c>
      <c r="K38" s="102" t="s">
        <v>40</v>
      </c>
      <c r="L38" s="16"/>
      <c r="O38" s="16"/>
    </row>
    <row r="39" spans="1:27" s="17" customFormat="1" ht="9.9499999999999993" customHeight="1" x14ac:dyDescent="0.25">
      <c r="A39" s="74"/>
      <c r="B39" s="16"/>
      <c r="C39" s="13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3" spans="1:27" ht="15.75" x14ac:dyDescent="0.25">
      <c r="A43" s="131" t="s">
        <v>82</v>
      </c>
      <c r="B43" s="132">
        <v>150</v>
      </c>
    </row>
    <row r="45" spans="1:27" x14ac:dyDescent="0.25">
      <c r="A45" s="16" t="s">
        <v>83</v>
      </c>
      <c r="B45" s="133">
        <f ca="1">TODAY()</f>
        <v>45897</v>
      </c>
    </row>
    <row r="46" spans="1:27" x14ac:dyDescent="0.25">
      <c r="A46" s="16" t="s">
        <v>35</v>
      </c>
    </row>
  </sheetData>
  <sheetProtection algorithmName="SHA-512" hashValue="beg4L69Nxo7QaKbggQT8OeoX+ArInFWJB3f0kDJnYFbU1SFe+Dm02AUMJpECJ+HqVjLA14xPA9TgBZu4VVNnSQ==" saltValue="BJFi15Ct7//ysi2ngS9inA==" spinCount="100000" sheet="1" objects="1" scenarios="1"/>
  <mergeCells count="17">
    <mergeCell ref="H7:J7"/>
    <mergeCell ref="A28:K28"/>
    <mergeCell ref="A21:K21"/>
    <mergeCell ref="A13:K13"/>
    <mergeCell ref="A23:B23"/>
    <mergeCell ref="A24:B24"/>
    <mergeCell ref="A15:B15"/>
    <mergeCell ref="A16:B16"/>
    <mergeCell ref="A17:B17"/>
    <mergeCell ref="A18:B18"/>
    <mergeCell ref="A19:B19"/>
    <mergeCell ref="A25:B25"/>
    <mergeCell ref="D4:E4"/>
    <mergeCell ref="G4:H4"/>
    <mergeCell ref="I4:K4"/>
    <mergeCell ref="I5:J5"/>
    <mergeCell ref="A1:K1"/>
  </mergeCells>
  <printOptions horizontalCentered="1" verticalCentered="1"/>
  <pageMargins left="0" right="0" top="0.19685039370078741" bottom="0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67F3-9FC9-E44B-B16F-FB11AF145F8E}">
  <dimension ref="A1:K17"/>
  <sheetViews>
    <sheetView workbookViewId="0">
      <selection activeCell="G7" sqref="G7"/>
    </sheetView>
  </sheetViews>
  <sheetFormatPr baseColWidth="10" defaultColWidth="11.42578125" defaultRowHeight="12.75" x14ac:dyDescent="0.2"/>
  <cols>
    <col min="1" max="1" width="28.140625" bestFit="1" customWidth="1"/>
  </cols>
  <sheetData>
    <row r="1" spans="1:11" x14ac:dyDescent="0.2">
      <c r="A1" s="2" t="s">
        <v>84</v>
      </c>
    </row>
    <row r="3" spans="1:11" x14ac:dyDescent="0.2">
      <c r="B3" s="2" t="s">
        <v>85</v>
      </c>
    </row>
    <row r="4" spans="1:11" s="2" customFormat="1" x14ac:dyDescent="0.2">
      <c r="A4" s="4" t="s">
        <v>86</v>
      </c>
      <c r="B4" s="5" t="s">
        <v>87</v>
      </c>
      <c r="C4" s="5" t="s">
        <v>88</v>
      </c>
      <c r="D4" s="5" t="s">
        <v>89</v>
      </c>
      <c r="E4" s="6" t="s">
        <v>90</v>
      </c>
      <c r="F4" s="6" t="s">
        <v>91</v>
      </c>
      <c r="G4" s="6" t="s">
        <v>92</v>
      </c>
      <c r="H4" s="6" t="s">
        <v>93</v>
      </c>
      <c r="I4" s="6" t="s">
        <v>94</v>
      </c>
      <c r="J4" s="6" t="s">
        <v>95</v>
      </c>
      <c r="K4" s="7" t="s">
        <v>96</v>
      </c>
    </row>
    <row r="5" spans="1:11" x14ac:dyDescent="0.2">
      <c r="A5" s="8" t="s">
        <v>20</v>
      </c>
      <c r="B5" s="10">
        <v>45000</v>
      </c>
      <c r="C5" s="10">
        <v>45000</v>
      </c>
      <c r="D5" s="10">
        <v>47000</v>
      </c>
      <c r="E5" s="10">
        <v>55000</v>
      </c>
      <c r="F5" s="10">
        <v>58000</v>
      </c>
      <c r="G5" s="10">
        <v>65000</v>
      </c>
      <c r="H5" s="10">
        <v>75000</v>
      </c>
      <c r="I5" s="10">
        <v>78000</v>
      </c>
      <c r="J5" s="10">
        <v>81000</v>
      </c>
      <c r="K5" s="11">
        <v>84000</v>
      </c>
    </row>
    <row r="6" spans="1:11" x14ac:dyDescent="0.2">
      <c r="A6" s="8" t="s">
        <v>22</v>
      </c>
      <c r="B6" s="10">
        <v>41000</v>
      </c>
      <c r="C6" s="10">
        <v>41000</v>
      </c>
      <c r="D6" s="10">
        <v>45000</v>
      </c>
      <c r="E6" s="10">
        <v>55000</v>
      </c>
      <c r="F6" s="10">
        <v>60000</v>
      </c>
      <c r="G6" s="10">
        <v>65000</v>
      </c>
      <c r="H6" s="10">
        <v>75000</v>
      </c>
      <c r="I6" s="10">
        <v>78000</v>
      </c>
      <c r="J6" s="10">
        <v>81000</v>
      </c>
      <c r="K6" s="11">
        <v>84000</v>
      </c>
    </row>
    <row r="7" spans="1:11" x14ac:dyDescent="0.2">
      <c r="A7" s="8" t="s">
        <v>26</v>
      </c>
      <c r="B7" s="10">
        <v>41000</v>
      </c>
      <c r="C7" s="10">
        <v>41000</v>
      </c>
      <c r="D7" s="10">
        <v>45000</v>
      </c>
      <c r="E7" s="10">
        <v>60000</v>
      </c>
      <c r="F7" s="10">
        <v>65000</v>
      </c>
      <c r="G7" s="10">
        <v>70000</v>
      </c>
      <c r="H7" s="10">
        <v>80000</v>
      </c>
      <c r="I7" s="10">
        <v>85000</v>
      </c>
      <c r="J7" s="10">
        <v>90000</v>
      </c>
      <c r="K7" s="11">
        <v>95000</v>
      </c>
    </row>
    <row r="8" spans="1:11" x14ac:dyDescent="0.2">
      <c r="A8" s="8" t="s">
        <v>97</v>
      </c>
      <c r="B8" s="10">
        <v>45000</v>
      </c>
      <c r="C8" s="10">
        <v>45000</v>
      </c>
      <c r="D8" s="10">
        <v>46000</v>
      </c>
      <c r="E8" s="10">
        <v>50000</v>
      </c>
      <c r="F8" s="10">
        <v>55000</v>
      </c>
      <c r="G8" s="10"/>
      <c r="H8" s="10"/>
      <c r="I8" s="10"/>
      <c r="J8" s="10"/>
      <c r="K8" s="11"/>
    </row>
    <row r="9" spans="1:11" x14ac:dyDescent="0.2">
      <c r="A9" s="8" t="s">
        <v>98</v>
      </c>
      <c r="B9" s="10">
        <v>55000</v>
      </c>
      <c r="C9" s="10">
        <v>55000</v>
      </c>
      <c r="D9" s="10">
        <v>56000</v>
      </c>
      <c r="E9" s="10">
        <v>58000</v>
      </c>
      <c r="F9" s="10">
        <v>61000</v>
      </c>
      <c r="G9" s="10">
        <v>65000</v>
      </c>
      <c r="H9" s="10">
        <v>75000</v>
      </c>
      <c r="I9" s="10">
        <v>78000</v>
      </c>
      <c r="J9" s="10">
        <v>81000</v>
      </c>
      <c r="K9" s="11">
        <v>84000</v>
      </c>
    </row>
    <row r="10" spans="1:11" x14ac:dyDescent="0.2">
      <c r="A10" s="8" t="s">
        <v>5</v>
      </c>
      <c r="B10" s="10">
        <v>22000</v>
      </c>
      <c r="C10" s="10">
        <v>22000</v>
      </c>
      <c r="D10" s="10">
        <v>27000</v>
      </c>
      <c r="E10" s="10">
        <v>30000</v>
      </c>
      <c r="F10" s="10">
        <v>35000</v>
      </c>
      <c r="G10" s="10">
        <v>38000</v>
      </c>
      <c r="H10" s="10">
        <v>42000</v>
      </c>
      <c r="I10" s="10">
        <v>45000</v>
      </c>
      <c r="J10" s="10">
        <v>55000</v>
      </c>
      <c r="K10" s="11">
        <v>60000</v>
      </c>
    </row>
    <row r="11" spans="1:11" x14ac:dyDescent="0.2">
      <c r="A11" s="8" t="s">
        <v>23</v>
      </c>
      <c r="B11" s="10">
        <v>18000</v>
      </c>
      <c r="C11" s="10">
        <v>18000</v>
      </c>
      <c r="D11" s="10">
        <v>27000</v>
      </c>
      <c r="E11" s="10">
        <v>30000</v>
      </c>
      <c r="F11" s="10">
        <v>35000</v>
      </c>
      <c r="G11" s="10">
        <v>38000</v>
      </c>
      <c r="H11" s="10">
        <v>42000</v>
      </c>
      <c r="I11" s="10">
        <v>45000</v>
      </c>
      <c r="J11" s="10">
        <v>55000</v>
      </c>
      <c r="K11" s="11">
        <v>60000</v>
      </c>
    </row>
    <row r="12" spans="1:11" x14ac:dyDescent="0.2">
      <c r="A12" s="9" t="s">
        <v>29</v>
      </c>
      <c r="B12" s="12">
        <v>14000</v>
      </c>
      <c r="C12" s="12">
        <v>15000</v>
      </c>
      <c r="D12" s="12">
        <v>17000</v>
      </c>
      <c r="E12" s="12">
        <v>21000</v>
      </c>
      <c r="F12" s="12">
        <v>23000</v>
      </c>
      <c r="G12" s="12">
        <v>28000</v>
      </c>
      <c r="H12" s="12">
        <v>32000</v>
      </c>
      <c r="I12" s="12">
        <v>36000</v>
      </c>
      <c r="J12" s="12">
        <v>40000</v>
      </c>
      <c r="K12" s="13">
        <v>44000</v>
      </c>
    </row>
    <row r="17" spans="2:2" x14ac:dyDescent="0.2">
      <c r="B17" s="3"/>
    </row>
  </sheetData>
  <sheetProtection sheet="1" objects="1" scenarios="1"/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39E8BD903064D8FE826F2C946D639" ma:contentTypeVersion="6" ma:contentTypeDescription="Ein neues Dokument erstellen." ma:contentTypeScope="" ma:versionID="f74ebd8cc19562554547b5121e727738">
  <xsd:schema xmlns:xsd="http://www.w3.org/2001/XMLSchema" xmlns:xs="http://www.w3.org/2001/XMLSchema" xmlns:p="http://schemas.microsoft.com/office/2006/metadata/properties" xmlns:ns2="f306222b-ef16-47a6-baa2-dcc833e94fca" xmlns:ns3="fbf5fc65-2f77-466f-952e-94bce48a9ac3" xmlns:ns4="0fad380d-fa1b-4715-9fbb-350912a7f686" xmlns:ns5="1666dbc2-bcdb-4fe9-b108-fd3b78f40bb1" targetNamespace="http://schemas.microsoft.com/office/2006/metadata/properties" ma:root="true" ma:fieldsID="f78c6590e4a1d393ea5d4f1e6456edd1" ns2:_="" ns3:_="" ns4:_="" ns5:_="">
    <xsd:import namespace="f306222b-ef16-47a6-baa2-dcc833e94fca"/>
    <xsd:import namespace="fbf5fc65-2f77-466f-952e-94bce48a9ac3"/>
    <xsd:import namespace="0fad380d-fa1b-4715-9fbb-350912a7f686"/>
    <xsd:import namespace="1666dbc2-bcdb-4fe9-b108-fd3b78f40b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Prozessbearbeitung" minOccurs="0"/>
                <xsd:element ref="ns3:_Flow_SignoffStatus" minOccurs="0"/>
                <xsd:element ref="ns3:MediaServiceBillingMetadata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6222b-ef16-47a6-baa2-dcc833e94f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fc65-2f77-466f-952e-94bce48a9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zessbearbeitung" ma:index="20" nillable="true" ma:displayName="Prozessbearbeitung" ma:description="Bitte über die Kommentarfunktion Änderungs-/Verbesserungsvorschläge oder Sonstiges vermerken. Nicht einfach etwas löschen oder ändern. Danke" ma:format="Dropdown" ma:internalName="Prozessbearbeitung">
      <xsd:simpleType>
        <xsd:restriction base="dms:Text">
          <xsd:maxLength value="255"/>
        </xsd:restriction>
      </xsd:simpleType>
    </xsd:element>
    <xsd:element name="_Flow_SignoffStatus" ma:index="21" nillable="true" ma:displayName="Status Unterschrift" ma:internalName="Status_x0020_Unterschrift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d380d-fa1b-4715-9fbb-350912a7f68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5b6fc00-93e4-48a9-b8f1-5a6906efdd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6dbc2-bcdb-4fe9-b108-fd3b78f40bb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421cfc3-02f6-471f-9041-0bda13ec2f07}" ma:internalName="TaxCatchAll" ma:showField="CatchAllData" ma:web="1666dbc2-bcdb-4fe9-b108-fd3b78f40b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f5fc65-2f77-466f-952e-94bce48a9ac3" xsi:nil="true"/>
    <Prozessbearbeitung xmlns="fbf5fc65-2f77-466f-952e-94bce48a9ac3" xsi:nil="true"/>
    <lcf76f155ced4ddcb4097134ff3c332f xmlns="0fad380d-fa1b-4715-9fbb-350912a7f686">
      <Terms xmlns="http://schemas.microsoft.com/office/infopath/2007/PartnerControls"/>
    </lcf76f155ced4ddcb4097134ff3c332f>
    <TaxCatchAll xmlns="1666dbc2-bcdb-4fe9-b108-fd3b78f40bb1" xsi:nil="true"/>
  </documentManagement>
</p:properties>
</file>

<file path=customXml/itemProps1.xml><?xml version="1.0" encoding="utf-8"?>
<ds:datastoreItem xmlns:ds="http://schemas.openxmlformats.org/officeDocument/2006/customXml" ds:itemID="{5C2CFEFD-C7F1-431C-BE47-D6A387AB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6222b-ef16-47a6-baa2-dcc833e94fca"/>
    <ds:schemaRef ds:uri="fbf5fc65-2f77-466f-952e-94bce48a9ac3"/>
    <ds:schemaRef ds:uri="0fad380d-fa1b-4715-9fbb-350912a7f686"/>
    <ds:schemaRef ds:uri="1666dbc2-bcdb-4fe9-b108-fd3b78f40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0BE0C6-F170-47F4-BD99-CF0C408BF0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DDDFE-7DCB-4FD2-BFFD-A36ED208F902}">
  <ds:schemaRefs>
    <ds:schemaRef ds:uri="http://schemas.microsoft.com/office/2006/metadata/properties"/>
    <ds:schemaRef ds:uri="http://schemas.microsoft.com/office/infopath/2007/PartnerControls"/>
    <ds:schemaRef ds:uri="fbf5fc65-2f77-466f-952e-94bce48a9ac3"/>
    <ds:schemaRef ds:uri="0fad380d-fa1b-4715-9fbb-350912a7f686"/>
    <ds:schemaRef ds:uri="1666dbc2-bcdb-4fe9-b108-fd3b78f40bb1"/>
  </ds:schemaRefs>
</ds:datastoreItem>
</file>

<file path=docMetadata/LabelInfo.xml><?xml version="1.0" encoding="utf-8"?>
<clbl:labelList xmlns:clbl="http://schemas.microsoft.com/office/2020/mipLabelMetadata">
  <clbl:label id="{1c8b99b4-4fce-40b1-9320-1d1a868d456e}" enabled="0" method="" siteId="{1c8b99b4-4fce-40b1-9320-1d1a868d4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Vergleich</vt:lpstr>
      <vt:lpstr>Brennstoff</vt:lpstr>
      <vt:lpstr>Investition</vt:lpstr>
      <vt:lpstr>Brennstoff!Druckbereich</vt:lpstr>
      <vt:lpstr>Vergleich!Druckbereich</vt:lpstr>
    </vt:vector>
  </TitlesOfParts>
  <Manager/>
  <Company>Windhager Beteiligungs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Glatz Fabrice</dc:creator>
  <cp:keywords/>
  <dc:description/>
  <cp:lastModifiedBy>Henseler Janik</cp:lastModifiedBy>
  <cp:revision/>
  <dcterms:created xsi:type="dcterms:W3CDTF">2024-09-01T12:12:47Z</dcterms:created>
  <dcterms:modified xsi:type="dcterms:W3CDTF">2025-08-28T12:20:55Z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0x01010061839E8BD903064D8FE826F2C946D639</vt:lpwstr>
  </property>
  <property fmtid="{D5CDD505-2E9C-101B-9397-08002B2CF9AE}" pid="3" name="MediaServiceImageTags">
    <vt:lpwstr/>
  </property>
  <property fmtid="{D5CDD505-2E9C-101B-9397-08002B2CF9AE}" pid="4" name="Order">
    <vt:r8>2129600</vt:r8>
  </property>
</Properties>
</file>